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polking\Desktop\"/>
    </mc:Choice>
  </mc:AlternateContent>
  <bookViews>
    <workbookView xWindow="0" yWindow="600" windowWidth="23040" windowHeight="9075"/>
  </bookViews>
  <sheets>
    <sheet name="Titles" sheetId="1" r:id="rId1"/>
  </sheets>
  <calcPr calcId="162913"/>
</workbook>
</file>

<file path=xl/calcChain.xml><?xml version="1.0" encoding="utf-8"?>
<calcChain xmlns="http://schemas.openxmlformats.org/spreadsheetml/2006/main">
  <c r="N2" i="1" l="1"/>
  <c r="R2" i="1"/>
  <c r="S2" i="1"/>
  <c r="N3" i="1"/>
  <c r="R3" i="1"/>
  <c r="S3" i="1"/>
  <c r="N4" i="1"/>
  <c r="R4" i="1"/>
  <c r="S4" i="1"/>
  <c r="N5" i="1"/>
  <c r="R5" i="1"/>
  <c r="S5" i="1"/>
  <c r="N6" i="1"/>
  <c r="R6" i="1"/>
  <c r="S6" i="1"/>
  <c r="N7" i="1"/>
  <c r="R7" i="1"/>
  <c r="S7" i="1"/>
  <c r="N8" i="1"/>
  <c r="R8" i="1"/>
  <c r="S8" i="1"/>
  <c r="N9" i="1"/>
  <c r="R9" i="1"/>
  <c r="S9" i="1"/>
  <c r="N10" i="1"/>
  <c r="R10" i="1"/>
  <c r="S10" i="1"/>
  <c r="N11" i="1"/>
  <c r="R11" i="1"/>
  <c r="S11" i="1"/>
  <c r="N12" i="1"/>
  <c r="R12" i="1"/>
  <c r="S12" i="1"/>
  <c r="N13" i="1"/>
  <c r="R13" i="1"/>
  <c r="S13" i="1"/>
  <c r="N14" i="1"/>
  <c r="S14" i="1"/>
  <c r="N15" i="1"/>
  <c r="R15" i="1"/>
  <c r="S15" i="1"/>
  <c r="N16" i="1"/>
  <c r="R16" i="1"/>
  <c r="S16" i="1"/>
  <c r="N17" i="1"/>
  <c r="R17" i="1"/>
  <c r="S17" i="1"/>
  <c r="N18" i="1"/>
  <c r="R18" i="1"/>
  <c r="S18" i="1"/>
  <c r="N19" i="1"/>
  <c r="R19" i="1"/>
  <c r="S19" i="1"/>
  <c r="N20" i="1"/>
  <c r="R20" i="1"/>
  <c r="S20" i="1"/>
  <c r="N21" i="1"/>
  <c r="R21" i="1"/>
  <c r="S21" i="1"/>
  <c r="N22" i="1"/>
  <c r="R22" i="1"/>
  <c r="S22" i="1"/>
  <c r="N23" i="1"/>
  <c r="R23" i="1"/>
  <c r="S23" i="1"/>
  <c r="N24" i="1"/>
  <c r="R24" i="1"/>
  <c r="S24" i="1"/>
  <c r="N25" i="1"/>
  <c r="R25" i="1"/>
  <c r="S25" i="1"/>
  <c r="N26" i="1"/>
  <c r="R26" i="1"/>
  <c r="S26" i="1"/>
  <c r="N27" i="1"/>
  <c r="R27" i="1"/>
  <c r="S27" i="1"/>
  <c r="N28" i="1"/>
  <c r="R28" i="1"/>
  <c r="S28" i="1"/>
  <c r="N29" i="1"/>
  <c r="R29" i="1"/>
  <c r="S29" i="1"/>
  <c r="N30" i="1"/>
  <c r="R30" i="1"/>
  <c r="S30" i="1"/>
  <c r="N31" i="1"/>
  <c r="S31" i="1"/>
  <c r="N32" i="1"/>
  <c r="R32" i="1"/>
  <c r="S32" i="1"/>
  <c r="N33" i="1"/>
  <c r="R33" i="1"/>
  <c r="S33" i="1"/>
  <c r="N34" i="1"/>
  <c r="R34" i="1"/>
  <c r="S34" i="1"/>
  <c r="N35" i="1"/>
  <c r="R35" i="1"/>
  <c r="S35" i="1"/>
  <c r="N36" i="1"/>
  <c r="S36" i="1"/>
  <c r="N37" i="1"/>
  <c r="R37" i="1"/>
  <c r="S37" i="1"/>
  <c r="N38" i="1"/>
  <c r="R38" i="1"/>
  <c r="S38" i="1"/>
  <c r="N39" i="1"/>
  <c r="R39" i="1"/>
  <c r="S39" i="1"/>
  <c r="N40" i="1"/>
  <c r="R40" i="1"/>
  <c r="S40" i="1"/>
  <c r="N41" i="1"/>
  <c r="R41" i="1"/>
  <c r="S41" i="1"/>
  <c r="N42" i="1"/>
  <c r="R42" i="1"/>
  <c r="S42" i="1"/>
  <c r="N43" i="1"/>
  <c r="R43" i="1"/>
  <c r="S43" i="1"/>
  <c r="N44" i="1"/>
  <c r="S44" i="1"/>
  <c r="N45" i="1"/>
  <c r="R45" i="1"/>
  <c r="S45" i="1"/>
  <c r="N46" i="1"/>
  <c r="R46" i="1"/>
  <c r="S46" i="1"/>
  <c r="N47" i="1"/>
  <c r="R47" i="1"/>
  <c r="S47" i="1"/>
  <c r="N48" i="1"/>
  <c r="R48" i="1"/>
  <c r="S48" i="1"/>
  <c r="N49" i="1"/>
  <c r="R49" i="1"/>
  <c r="S49" i="1"/>
  <c r="N50" i="1"/>
  <c r="R50" i="1"/>
  <c r="S50" i="1"/>
  <c r="N51" i="1"/>
  <c r="R51" i="1"/>
  <c r="S51" i="1"/>
  <c r="N52" i="1"/>
  <c r="R52" i="1"/>
  <c r="S52" i="1"/>
  <c r="N53" i="1"/>
  <c r="R53" i="1"/>
  <c r="S53" i="1"/>
  <c r="N54" i="1"/>
  <c r="R54" i="1"/>
  <c r="S54" i="1"/>
  <c r="N55" i="1"/>
  <c r="R55" i="1"/>
  <c r="S55" i="1"/>
  <c r="N56" i="1"/>
  <c r="S56" i="1"/>
  <c r="N57" i="1"/>
  <c r="S57" i="1"/>
  <c r="N58" i="1"/>
  <c r="R58" i="1"/>
  <c r="S58" i="1"/>
  <c r="N59" i="1"/>
  <c r="R59" i="1"/>
  <c r="S59" i="1"/>
  <c r="N60" i="1"/>
  <c r="S60" i="1"/>
  <c r="N61" i="1"/>
  <c r="S61" i="1"/>
  <c r="N62" i="1"/>
  <c r="S62" i="1"/>
  <c r="N63" i="1"/>
  <c r="R63" i="1"/>
  <c r="S63" i="1"/>
  <c r="N64" i="1"/>
  <c r="R64" i="1"/>
  <c r="S64" i="1"/>
  <c r="N65" i="1"/>
  <c r="S65" i="1"/>
  <c r="N66" i="1"/>
  <c r="R66" i="1"/>
  <c r="S66" i="1"/>
  <c r="N67" i="1"/>
  <c r="R67" i="1"/>
  <c r="S67" i="1"/>
  <c r="N68" i="1"/>
  <c r="R68" i="1"/>
  <c r="S68" i="1"/>
  <c r="N69" i="1"/>
  <c r="R69" i="1"/>
  <c r="S69" i="1"/>
  <c r="N70" i="1"/>
  <c r="R70" i="1"/>
  <c r="S70" i="1"/>
  <c r="N71" i="1"/>
  <c r="R71" i="1"/>
  <c r="S71" i="1"/>
  <c r="N72" i="1"/>
  <c r="R72" i="1"/>
  <c r="S72" i="1"/>
  <c r="N73" i="1"/>
  <c r="R73" i="1"/>
  <c r="S73" i="1"/>
  <c r="N74" i="1"/>
  <c r="R74" i="1"/>
  <c r="S74" i="1"/>
  <c r="N75" i="1"/>
  <c r="R75" i="1"/>
  <c r="S75" i="1"/>
  <c r="N76" i="1"/>
  <c r="R76" i="1"/>
  <c r="S76" i="1"/>
  <c r="N77" i="1"/>
  <c r="R77" i="1"/>
  <c r="S77" i="1"/>
  <c r="N78" i="1"/>
  <c r="R78" i="1"/>
  <c r="S78" i="1"/>
  <c r="N79" i="1"/>
  <c r="R79" i="1"/>
  <c r="S79" i="1"/>
  <c r="N80" i="1"/>
  <c r="S80" i="1"/>
  <c r="N81" i="1"/>
  <c r="S81" i="1"/>
  <c r="N82" i="1"/>
  <c r="R82" i="1"/>
  <c r="S82" i="1"/>
  <c r="N83" i="1"/>
  <c r="R83" i="1"/>
  <c r="S83" i="1"/>
  <c r="N84" i="1"/>
  <c r="R84" i="1"/>
  <c r="S84" i="1"/>
  <c r="N85" i="1"/>
  <c r="S85" i="1"/>
  <c r="N86" i="1"/>
  <c r="S86" i="1"/>
  <c r="N87" i="1"/>
  <c r="S87" i="1"/>
  <c r="N88" i="1"/>
  <c r="S88" i="1"/>
  <c r="N89" i="1"/>
  <c r="S89" i="1"/>
  <c r="N90" i="1"/>
  <c r="S90" i="1"/>
  <c r="N91" i="1"/>
  <c r="S91" i="1"/>
  <c r="N92" i="1"/>
  <c r="S92" i="1"/>
  <c r="N93" i="1"/>
  <c r="R93" i="1"/>
  <c r="S93" i="1"/>
  <c r="N94" i="1"/>
  <c r="R94" i="1"/>
  <c r="S94" i="1"/>
  <c r="N95" i="1"/>
  <c r="R95" i="1"/>
  <c r="S95" i="1"/>
  <c r="N96" i="1"/>
  <c r="S96" i="1"/>
  <c r="N97" i="1"/>
  <c r="S97" i="1"/>
  <c r="N98" i="1"/>
  <c r="S98" i="1"/>
  <c r="N99" i="1"/>
  <c r="S99" i="1"/>
  <c r="N100" i="1"/>
  <c r="S100" i="1"/>
  <c r="N101" i="1"/>
  <c r="S101" i="1"/>
  <c r="N102" i="1"/>
  <c r="S102" i="1"/>
  <c r="N103" i="1"/>
  <c r="S103" i="1"/>
  <c r="N104" i="1"/>
  <c r="S104" i="1"/>
  <c r="N105" i="1"/>
  <c r="S105" i="1"/>
  <c r="N106" i="1"/>
  <c r="S106" i="1"/>
  <c r="N107" i="1"/>
  <c r="S107" i="1"/>
  <c r="N108" i="1"/>
  <c r="S108" i="1"/>
  <c r="N109" i="1"/>
  <c r="R109" i="1"/>
  <c r="S109" i="1"/>
  <c r="N110" i="1"/>
  <c r="R110" i="1"/>
  <c r="S110" i="1"/>
  <c r="N111" i="1"/>
  <c r="R111" i="1"/>
  <c r="S111" i="1"/>
  <c r="N112" i="1"/>
  <c r="R112" i="1"/>
  <c r="S112" i="1"/>
  <c r="N113" i="1"/>
  <c r="R113" i="1"/>
  <c r="S113" i="1"/>
  <c r="N114" i="1"/>
  <c r="R114" i="1"/>
  <c r="S114" i="1"/>
  <c r="N115" i="1"/>
  <c r="R115" i="1"/>
  <c r="S115" i="1"/>
  <c r="N116" i="1"/>
  <c r="R116" i="1"/>
  <c r="S116" i="1"/>
  <c r="N117" i="1"/>
  <c r="S117" i="1"/>
  <c r="N118" i="1"/>
  <c r="S118" i="1"/>
  <c r="N119" i="1"/>
  <c r="R119" i="1"/>
  <c r="S119" i="1"/>
  <c r="N120" i="1"/>
  <c r="R120" i="1"/>
  <c r="S120" i="1"/>
  <c r="N121" i="1"/>
  <c r="R121" i="1"/>
  <c r="S121" i="1"/>
  <c r="N122" i="1"/>
  <c r="R122" i="1"/>
  <c r="S122" i="1"/>
  <c r="N123" i="1"/>
  <c r="S123" i="1"/>
  <c r="N125" i="1"/>
  <c r="R125" i="1"/>
  <c r="S125" i="1"/>
  <c r="N126" i="1"/>
  <c r="R126" i="1"/>
  <c r="S126" i="1"/>
  <c r="N127" i="1"/>
  <c r="R127" i="1"/>
  <c r="S127" i="1"/>
  <c r="N128" i="1"/>
  <c r="R128" i="1"/>
  <c r="S128" i="1"/>
  <c r="N129" i="1"/>
  <c r="R129" i="1"/>
  <c r="S129" i="1"/>
  <c r="N130" i="1"/>
  <c r="S130" i="1"/>
  <c r="N131" i="1"/>
  <c r="S131" i="1"/>
  <c r="N132" i="1"/>
  <c r="S132" i="1"/>
  <c r="N133" i="1"/>
  <c r="R133" i="1"/>
  <c r="S133" i="1"/>
  <c r="N134" i="1"/>
  <c r="R134" i="1"/>
  <c r="S134" i="1"/>
  <c r="N135" i="1"/>
  <c r="S135" i="1"/>
  <c r="N136" i="1"/>
  <c r="R136" i="1"/>
  <c r="S136" i="1"/>
  <c r="N137" i="1"/>
  <c r="R137" i="1"/>
  <c r="S137" i="1"/>
  <c r="N138" i="1"/>
  <c r="S138" i="1"/>
  <c r="N139" i="1"/>
  <c r="R139" i="1"/>
  <c r="S139" i="1"/>
  <c r="N140" i="1"/>
  <c r="R140" i="1"/>
  <c r="S140" i="1"/>
  <c r="N141" i="1"/>
  <c r="R141" i="1"/>
  <c r="S141" i="1"/>
  <c r="N142" i="1"/>
  <c r="S142" i="1"/>
  <c r="N143" i="1"/>
  <c r="R143" i="1"/>
  <c r="S143" i="1"/>
  <c r="N144" i="1"/>
  <c r="R144" i="1"/>
  <c r="S144" i="1"/>
  <c r="N145" i="1"/>
  <c r="N146" i="1"/>
  <c r="R146" i="1"/>
  <c r="S146" i="1"/>
  <c r="N147" i="1"/>
  <c r="R147" i="1"/>
  <c r="S147" i="1"/>
  <c r="N148" i="1"/>
  <c r="R148" i="1"/>
  <c r="S148" i="1"/>
  <c r="N149" i="1"/>
  <c r="R149" i="1"/>
  <c r="S149" i="1"/>
  <c r="N150" i="1"/>
  <c r="R150" i="1"/>
  <c r="S150" i="1"/>
  <c r="N151" i="1"/>
  <c r="S151" i="1"/>
  <c r="N152" i="1"/>
  <c r="R152" i="1"/>
  <c r="S152" i="1"/>
  <c r="N153" i="1"/>
  <c r="R153" i="1"/>
  <c r="S153" i="1"/>
  <c r="N154" i="1"/>
  <c r="R154" i="1"/>
  <c r="S154" i="1"/>
  <c r="N155" i="1"/>
  <c r="R155" i="1"/>
  <c r="S155" i="1"/>
  <c r="N156" i="1"/>
  <c r="R156" i="1"/>
  <c r="S156" i="1"/>
  <c r="N157" i="1"/>
  <c r="R157" i="1"/>
  <c r="S157" i="1"/>
  <c r="N158" i="1"/>
  <c r="R158" i="1"/>
  <c r="S158" i="1"/>
  <c r="N159" i="1"/>
  <c r="R159" i="1"/>
  <c r="S159" i="1"/>
  <c r="N160" i="1"/>
  <c r="R160" i="1"/>
  <c r="S160" i="1"/>
  <c r="N161" i="1"/>
  <c r="R161" i="1"/>
  <c r="S161" i="1"/>
  <c r="N162" i="1"/>
  <c r="R162" i="1"/>
  <c r="S162" i="1"/>
  <c r="N163" i="1"/>
  <c r="R163" i="1"/>
  <c r="S163" i="1"/>
  <c r="N164" i="1"/>
  <c r="R164" i="1"/>
  <c r="S164" i="1"/>
  <c r="N165" i="1"/>
  <c r="R165" i="1"/>
  <c r="S165" i="1"/>
  <c r="N166" i="1"/>
  <c r="R166" i="1"/>
  <c r="S166" i="1"/>
  <c r="N167" i="1"/>
  <c r="R167" i="1"/>
  <c r="S167" i="1"/>
  <c r="N168" i="1"/>
  <c r="R168" i="1"/>
  <c r="S168" i="1"/>
  <c r="N169" i="1"/>
  <c r="R169" i="1"/>
  <c r="S169" i="1"/>
  <c r="N170" i="1"/>
  <c r="R170" i="1"/>
  <c r="S170" i="1"/>
  <c r="N171" i="1"/>
  <c r="R171" i="1"/>
  <c r="S171" i="1"/>
  <c r="N172" i="1"/>
  <c r="R172" i="1"/>
  <c r="S172" i="1"/>
  <c r="N173" i="1"/>
  <c r="R173" i="1"/>
  <c r="S173" i="1"/>
  <c r="N174" i="1"/>
  <c r="R174" i="1"/>
  <c r="S174" i="1"/>
  <c r="N175" i="1"/>
  <c r="R175" i="1"/>
  <c r="S175" i="1"/>
  <c r="N176" i="1"/>
  <c r="R176" i="1"/>
  <c r="S176" i="1"/>
  <c r="N177" i="1"/>
  <c r="R177" i="1"/>
  <c r="S177" i="1"/>
  <c r="N178" i="1"/>
  <c r="R178" i="1"/>
  <c r="S178" i="1"/>
  <c r="N179" i="1"/>
  <c r="R179" i="1"/>
  <c r="S179" i="1"/>
  <c r="N180" i="1"/>
  <c r="R180" i="1"/>
  <c r="S180" i="1"/>
  <c r="N181" i="1"/>
  <c r="R181" i="1"/>
  <c r="S181" i="1"/>
  <c r="N182" i="1"/>
  <c r="R182" i="1"/>
  <c r="S182" i="1"/>
  <c r="N183" i="1"/>
  <c r="R183" i="1"/>
  <c r="S183" i="1"/>
  <c r="N184" i="1"/>
  <c r="R184" i="1"/>
  <c r="S184" i="1"/>
  <c r="N185" i="1"/>
  <c r="R185" i="1"/>
  <c r="S185" i="1"/>
  <c r="N186" i="1"/>
  <c r="R186" i="1"/>
  <c r="S186" i="1"/>
  <c r="N187" i="1"/>
  <c r="R187" i="1"/>
  <c r="S187" i="1"/>
  <c r="N188" i="1"/>
  <c r="R188" i="1"/>
  <c r="S188" i="1"/>
  <c r="N189" i="1"/>
  <c r="R189" i="1"/>
  <c r="S189" i="1"/>
  <c r="N190" i="1"/>
  <c r="R190" i="1"/>
  <c r="S190" i="1"/>
  <c r="N191" i="1"/>
  <c r="R191" i="1"/>
  <c r="S191" i="1"/>
  <c r="N192" i="1"/>
  <c r="R192" i="1"/>
  <c r="S192" i="1"/>
  <c r="N193" i="1"/>
  <c r="R193" i="1"/>
  <c r="S193" i="1"/>
  <c r="N194" i="1"/>
  <c r="R194" i="1"/>
  <c r="S194" i="1"/>
  <c r="N195" i="1"/>
  <c r="R195" i="1"/>
  <c r="S195" i="1"/>
  <c r="N196" i="1"/>
  <c r="R196" i="1"/>
  <c r="S196" i="1"/>
  <c r="N197" i="1"/>
  <c r="R197" i="1"/>
  <c r="S197" i="1"/>
  <c r="N198" i="1"/>
  <c r="R198" i="1"/>
  <c r="S198" i="1"/>
  <c r="N199" i="1"/>
  <c r="R199" i="1"/>
  <c r="S199" i="1"/>
  <c r="N201" i="1"/>
  <c r="R201" i="1"/>
  <c r="S201" i="1"/>
  <c r="N202" i="1"/>
  <c r="R202" i="1"/>
  <c r="S202" i="1"/>
  <c r="N203" i="1"/>
  <c r="R203" i="1"/>
  <c r="S203" i="1"/>
  <c r="N204" i="1"/>
  <c r="R204" i="1"/>
  <c r="S204" i="1"/>
  <c r="N205" i="1"/>
  <c r="R205" i="1"/>
  <c r="S205" i="1"/>
  <c r="N206" i="1"/>
  <c r="R206" i="1"/>
  <c r="S206" i="1"/>
  <c r="N207" i="1"/>
  <c r="S207" i="1"/>
  <c r="N208" i="1"/>
  <c r="R208" i="1"/>
  <c r="S208" i="1"/>
  <c r="N209" i="1"/>
  <c r="R209" i="1"/>
  <c r="S209" i="1"/>
  <c r="N210" i="1"/>
  <c r="R210" i="1"/>
  <c r="S210" i="1"/>
  <c r="N211" i="1"/>
  <c r="R211" i="1"/>
  <c r="S211" i="1"/>
  <c r="N212" i="1"/>
  <c r="R212" i="1"/>
  <c r="S212" i="1"/>
  <c r="N213" i="1"/>
  <c r="R213" i="1"/>
  <c r="S213" i="1"/>
  <c r="N214" i="1"/>
  <c r="R214" i="1"/>
  <c r="S214" i="1"/>
  <c r="N215" i="1"/>
  <c r="R215" i="1"/>
  <c r="S215" i="1"/>
  <c r="N216" i="1"/>
  <c r="R216" i="1"/>
  <c r="S216" i="1"/>
  <c r="N217" i="1"/>
  <c r="R217" i="1"/>
  <c r="S217" i="1"/>
  <c r="N218" i="1"/>
  <c r="R218" i="1"/>
  <c r="S218" i="1"/>
  <c r="N219" i="1"/>
  <c r="R219" i="1"/>
  <c r="S219" i="1"/>
  <c r="N220" i="1"/>
  <c r="R220" i="1"/>
  <c r="S220" i="1"/>
  <c r="N221" i="1"/>
  <c r="R221" i="1"/>
  <c r="S221" i="1"/>
  <c r="N222" i="1"/>
  <c r="R222" i="1"/>
  <c r="S222" i="1"/>
  <c r="N223" i="1"/>
  <c r="S223" i="1"/>
  <c r="N224" i="1"/>
  <c r="S224" i="1"/>
  <c r="N225" i="1"/>
  <c r="R225" i="1"/>
  <c r="S225" i="1"/>
  <c r="N226" i="1"/>
  <c r="R226" i="1"/>
  <c r="S226" i="1"/>
  <c r="N227" i="1"/>
  <c r="R227" i="1"/>
  <c r="S227" i="1"/>
  <c r="N228" i="1"/>
  <c r="R228" i="1"/>
  <c r="S228" i="1"/>
  <c r="N229" i="1"/>
  <c r="R229" i="1"/>
  <c r="S229" i="1"/>
  <c r="N230" i="1"/>
  <c r="R230" i="1"/>
  <c r="S230" i="1"/>
  <c r="N231" i="1"/>
  <c r="R231" i="1"/>
  <c r="S231" i="1"/>
  <c r="N232" i="1"/>
  <c r="R232" i="1"/>
  <c r="S232" i="1"/>
  <c r="N233" i="1"/>
  <c r="R233" i="1"/>
  <c r="S233" i="1"/>
  <c r="N234" i="1"/>
  <c r="R234" i="1"/>
  <c r="S234" i="1"/>
  <c r="N235" i="1"/>
  <c r="R235" i="1"/>
  <c r="S235" i="1"/>
  <c r="N236" i="1"/>
  <c r="R236" i="1"/>
  <c r="S236" i="1"/>
  <c r="N237" i="1"/>
  <c r="R237" i="1"/>
  <c r="S237" i="1"/>
  <c r="N238" i="1"/>
  <c r="R238" i="1"/>
  <c r="S238" i="1"/>
  <c r="N239" i="1"/>
  <c r="R239" i="1"/>
  <c r="S239" i="1"/>
  <c r="N240" i="1"/>
  <c r="R240" i="1"/>
  <c r="S240" i="1"/>
  <c r="N241" i="1"/>
  <c r="R241" i="1"/>
  <c r="S241" i="1"/>
  <c r="N242" i="1"/>
  <c r="R242" i="1"/>
  <c r="S242" i="1"/>
  <c r="N243" i="1"/>
  <c r="R243" i="1"/>
  <c r="S243" i="1"/>
  <c r="N244" i="1"/>
  <c r="R244" i="1"/>
  <c r="S244" i="1"/>
  <c r="N245" i="1"/>
  <c r="R245" i="1"/>
  <c r="S245" i="1"/>
  <c r="N246" i="1"/>
  <c r="R246" i="1"/>
  <c r="S246" i="1"/>
  <c r="N247" i="1"/>
  <c r="R247" i="1"/>
  <c r="S247" i="1"/>
  <c r="N248" i="1"/>
  <c r="R248" i="1"/>
  <c r="S248" i="1"/>
  <c r="N249" i="1"/>
  <c r="R249" i="1"/>
  <c r="S249" i="1"/>
  <c r="N250" i="1"/>
  <c r="R250" i="1"/>
  <c r="S250" i="1"/>
  <c r="N251" i="1"/>
  <c r="R251" i="1"/>
  <c r="S251" i="1"/>
  <c r="N252" i="1"/>
  <c r="R252" i="1"/>
  <c r="S252" i="1"/>
  <c r="N253" i="1"/>
  <c r="R253" i="1"/>
  <c r="S253" i="1"/>
  <c r="N254" i="1"/>
  <c r="R254" i="1"/>
  <c r="S254" i="1"/>
  <c r="N255" i="1"/>
  <c r="R255" i="1"/>
  <c r="S255" i="1"/>
  <c r="N256" i="1"/>
  <c r="R256" i="1"/>
  <c r="S256" i="1"/>
  <c r="N257" i="1"/>
  <c r="R257" i="1"/>
  <c r="S257" i="1"/>
  <c r="N258" i="1"/>
  <c r="R258" i="1"/>
  <c r="S258" i="1"/>
  <c r="N259" i="1"/>
  <c r="R259" i="1"/>
  <c r="S259" i="1"/>
  <c r="N260" i="1"/>
  <c r="R260" i="1"/>
  <c r="S260" i="1"/>
  <c r="N261" i="1"/>
  <c r="S261" i="1"/>
  <c r="N262" i="1"/>
  <c r="R262" i="1"/>
  <c r="S262" i="1"/>
  <c r="N263" i="1"/>
  <c r="R263" i="1"/>
  <c r="S263" i="1"/>
  <c r="N264" i="1"/>
  <c r="S264" i="1"/>
  <c r="N265" i="1"/>
  <c r="R265" i="1"/>
  <c r="S265" i="1"/>
  <c r="N266" i="1"/>
  <c r="R266" i="1"/>
  <c r="S266" i="1"/>
  <c r="N267" i="1"/>
  <c r="R267" i="1"/>
  <c r="S267" i="1"/>
  <c r="N268" i="1"/>
  <c r="R268" i="1"/>
  <c r="S268" i="1"/>
  <c r="N269" i="1"/>
  <c r="S269" i="1"/>
  <c r="N270" i="1"/>
  <c r="S270" i="1"/>
  <c r="N271" i="1"/>
  <c r="S271" i="1"/>
  <c r="N272" i="1"/>
  <c r="R272" i="1"/>
  <c r="S272" i="1"/>
  <c r="N273" i="1"/>
  <c r="S273" i="1"/>
  <c r="N274" i="1"/>
  <c r="R274" i="1"/>
  <c r="S274" i="1"/>
  <c r="N275" i="1"/>
  <c r="S275" i="1"/>
  <c r="N276" i="1"/>
  <c r="S276" i="1"/>
  <c r="N277" i="1"/>
  <c r="S277" i="1"/>
  <c r="N278" i="1"/>
  <c r="S278" i="1"/>
  <c r="N279" i="1"/>
  <c r="S279" i="1"/>
  <c r="N280" i="1"/>
  <c r="S280" i="1"/>
  <c r="N281" i="1"/>
  <c r="S281" i="1"/>
  <c r="N282" i="1"/>
  <c r="S282" i="1"/>
  <c r="N283" i="1"/>
  <c r="R283" i="1"/>
  <c r="S283" i="1"/>
  <c r="N284" i="1"/>
  <c r="R284" i="1"/>
  <c r="S284" i="1"/>
  <c r="N285" i="1"/>
  <c r="R285" i="1"/>
  <c r="S285" i="1"/>
  <c r="N286" i="1"/>
  <c r="R286" i="1"/>
  <c r="S286" i="1"/>
  <c r="N287" i="1"/>
  <c r="R287" i="1"/>
  <c r="S287" i="1"/>
  <c r="N288" i="1"/>
  <c r="R288" i="1"/>
  <c r="S288" i="1"/>
  <c r="N289" i="1"/>
  <c r="S289" i="1"/>
  <c r="S290" i="1"/>
  <c r="N291" i="1"/>
  <c r="R291" i="1"/>
  <c r="S291" i="1"/>
  <c r="N292" i="1"/>
  <c r="R292" i="1"/>
  <c r="S292" i="1"/>
  <c r="N293" i="1"/>
  <c r="R293" i="1"/>
  <c r="S293" i="1"/>
  <c r="N294" i="1"/>
  <c r="S294" i="1"/>
  <c r="N295" i="1"/>
  <c r="R295" i="1"/>
  <c r="S295" i="1"/>
  <c r="N296" i="1"/>
  <c r="R296" i="1"/>
  <c r="S296" i="1"/>
  <c r="N297" i="1"/>
  <c r="R297" i="1"/>
  <c r="S297" i="1"/>
  <c r="N298" i="1"/>
  <c r="R298" i="1"/>
  <c r="S298" i="1"/>
  <c r="N299" i="1"/>
  <c r="R299" i="1"/>
  <c r="S299" i="1"/>
  <c r="N300" i="1"/>
  <c r="S300" i="1"/>
  <c r="N301" i="1"/>
  <c r="N302" i="1"/>
  <c r="S302" i="1"/>
  <c r="N303" i="1"/>
  <c r="N304" i="1"/>
  <c r="R304" i="1"/>
  <c r="S304" i="1"/>
  <c r="N305" i="1"/>
  <c r="R305" i="1"/>
  <c r="S305" i="1"/>
  <c r="N306" i="1"/>
  <c r="R306" i="1"/>
  <c r="S306" i="1"/>
  <c r="N307" i="1"/>
  <c r="R307" i="1"/>
  <c r="S307" i="1"/>
  <c r="N308" i="1"/>
  <c r="R308" i="1"/>
  <c r="S308" i="1"/>
  <c r="N309" i="1"/>
  <c r="R309" i="1"/>
  <c r="S309" i="1"/>
  <c r="N310" i="1"/>
  <c r="S310" i="1"/>
  <c r="N311" i="1"/>
  <c r="S311" i="1"/>
  <c r="N312" i="1"/>
  <c r="S312" i="1"/>
  <c r="N313" i="1"/>
  <c r="R313" i="1"/>
  <c r="S313" i="1"/>
  <c r="N314" i="1"/>
  <c r="S314" i="1"/>
  <c r="N315" i="1"/>
  <c r="R315" i="1"/>
  <c r="S315" i="1"/>
  <c r="N316" i="1"/>
  <c r="R316" i="1"/>
  <c r="S316" i="1"/>
  <c r="N317" i="1"/>
  <c r="R317" i="1"/>
  <c r="S317" i="1"/>
  <c r="N318" i="1"/>
  <c r="R318" i="1"/>
  <c r="S318" i="1"/>
  <c r="N319" i="1"/>
  <c r="R319" i="1"/>
  <c r="S319" i="1"/>
  <c r="N320" i="1"/>
  <c r="R320" i="1"/>
  <c r="S320" i="1"/>
  <c r="N321" i="1"/>
  <c r="R321" i="1"/>
  <c r="S321" i="1"/>
  <c r="N322" i="1"/>
  <c r="R322" i="1"/>
  <c r="S322" i="1"/>
  <c r="N323" i="1"/>
  <c r="R323" i="1"/>
  <c r="S323" i="1"/>
  <c r="N324" i="1"/>
  <c r="R324" i="1"/>
  <c r="S324" i="1"/>
  <c r="N325" i="1"/>
  <c r="R325" i="1"/>
  <c r="S325" i="1"/>
  <c r="N326" i="1"/>
  <c r="R326" i="1"/>
  <c r="S326" i="1"/>
  <c r="N327" i="1"/>
  <c r="R327" i="1"/>
  <c r="S327" i="1"/>
  <c r="N328" i="1"/>
  <c r="R328" i="1"/>
  <c r="S328" i="1"/>
  <c r="N329" i="1"/>
  <c r="R329" i="1"/>
  <c r="S329" i="1"/>
  <c r="N330" i="1"/>
  <c r="R330" i="1"/>
  <c r="S330" i="1"/>
  <c r="N331" i="1"/>
  <c r="R331" i="1"/>
  <c r="S331" i="1"/>
  <c r="N332" i="1"/>
  <c r="R332" i="1"/>
  <c r="S332" i="1"/>
  <c r="N333" i="1"/>
  <c r="R333" i="1"/>
  <c r="S333" i="1"/>
  <c r="N334" i="1"/>
  <c r="R334" i="1"/>
  <c r="S334" i="1"/>
  <c r="N335" i="1"/>
  <c r="R335" i="1"/>
  <c r="S335" i="1"/>
  <c r="N336" i="1"/>
  <c r="R336" i="1"/>
  <c r="S336" i="1"/>
  <c r="N337" i="1"/>
  <c r="S337" i="1"/>
  <c r="N338" i="1"/>
  <c r="R338" i="1"/>
  <c r="S338" i="1"/>
  <c r="N339" i="1"/>
  <c r="R339" i="1"/>
  <c r="S339" i="1"/>
  <c r="N340" i="1"/>
  <c r="S340" i="1"/>
  <c r="N341" i="1"/>
  <c r="N342" i="1"/>
  <c r="S342" i="1"/>
  <c r="N343" i="1"/>
  <c r="S343" i="1"/>
  <c r="N344" i="1"/>
  <c r="R344" i="1"/>
  <c r="S344" i="1"/>
  <c r="N345" i="1"/>
  <c r="R345" i="1"/>
  <c r="S345" i="1"/>
  <c r="N346" i="1"/>
  <c r="R346" i="1"/>
  <c r="S346" i="1"/>
  <c r="N347" i="1"/>
  <c r="R347" i="1"/>
  <c r="S347" i="1"/>
  <c r="N348" i="1"/>
  <c r="R348" i="1"/>
  <c r="S348" i="1"/>
  <c r="N349" i="1"/>
  <c r="R349" i="1"/>
  <c r="S349" i="1"/>
  <c r="N350" i="1"/>
  <c r="R350" i="1"/>
  <c r="S350" i="1"/>
  <c r="N351" i="1"/>
  <c r="R351" i="1"/>
  <c r="S351" i="1"/>
  <c r="N352" i="1"/>
  <c r="R352" i="1"/>
  <c r="S352" i="1"/>
  <c r="N353" i="1"/>
  <c r="R353" i="1"/>
  <c r="S353" i="1"/>
  <c r="N354" i="1"/>
  <c r="R354" i="1"/>
  <c r="S354" i="1"/>
  <c r="N355" i="1"/>
  <c r="R355" i="1"/>
  <c r="S355" i="1"/>
  <c r="N356" i="1"/>
  <c r="R356" i="1"/>
  <c r="S356" i="1"/>
  <c r="N357" i="1"/>
  <c r="R357" i="1"/>
  <c r="S357" i="1"/>
  <c r="N358" i="1"/>
  <c r="R358" i="1"/>
  <c r="S358" i="1"/>
  <c r="N359" i="1"/>
  <c r="R359" i="1"/>
  <c r="S359" i="1"/>
  <c r="N360" i="1"/>
  <c r="R360" i="1"/>
  <c r="S360" i="1"/>
  <c r="N361" i="1"/>
  <c r="R361" i="1"/>
  <c r="S361" i="1"/>
  <c r="N362" i="1"/>
  <c r="R362" i="1"/>
  <c r="S362" i="1"/>
  <c r="N363" i="1"/>
  <c r="R363" i="1"/>
  <c r="S363" i="1"/>
  <c r="N364" i="1"/>
  <c r="R364" i="1"/>
  <c r="S364" i="1"/>
  <c r="N365" i="1"/>
  <c r="R365" i="1"/>
  <c r="S365" i="1"/>
  <c r="N366" i="1"/>
  <c r="R366" i="1"/>
  <c r="S366" i="1"/>
  <c r="N367" i="1"/>
  <c r="R367" i="1"/>
  <c r="S367" i="1"/>
  <c r="N368" i="1"/>
  <c r="R368" i="1"/>
  <c r="S368" i="1"/>
  <c r="N369" i="1"/>
  <c r="R369" i="1"/>
  <c r="S369" i="1"/>
  <c r="N370" i="1"/>
  <c r="R370" i="1"/>
  <c r="S370" i="1"/>
  <c r="N371" i="1"/>
  <c r="R371" i="1"/>
  <c r="S371" i="1"/>
  <c r="N372" i="1"/>
  <c r="R372" i="1"/>
  <c r="S372" i="1"/>
  <c r="N373" i="1"/>
  <c r="R373" i="1"/>
  <c r="S373" i="1"/>
  <c r="N374" i="1"/>
  <c r="R374" i="1"/>
  <c r="S374" i="1"/>
  <c r="N375" i="1"/>
  <c r="R375" i="1"/>
  <c r="S375" i="1"/>
  <c r="N376" i="1"/>
  <c r="R376" i="1"/>
  <c r="S376" i="1"/>
  <c r="N377" i="1"/>
  <c r="R377" i="1"/>
  <c r="S377" i="1"/>
  <c r="N378" i="1"/>
  <c r="R378" i="1"/>
  <c r="S378" i="1"/>
  <c r="N379" i="1"/>
  <c r="R379" i="1"/>
  <c r="S379" i="1"/>
  <c r="N380" i="1"/>
  <c r="R380" i="1"/>
  <c r="S380" i="1"/>
  <c r="N381" i="1"/>
  <c r="R381" i="1"/>
  <c r="S381" i="1"/>
  <c r="N382" i="1"/>
  <c r="R382" i="1"/>
  <c r="S382" i="1"/>
  <c r="N383" i="1"/>
  <c r="R383" i="1"/>
  <c r="S383" i="1"/>
  <c r="N384" i="1"/>
  <c r="R384" i="1"/>
  <c r="S384" i="1"/>
  <c r="N385" i="1"/>
  <c r="R385" i="1"/>
  <c r="S385" i="1"/>
  <c r="N386" i="1"/>
  <c r="R386" i="1"/>
  <c r="S386" i="1"/>
  <c r="N387" i="1"/>
  <c r="R387" i="1"/>
  <c r="S387" i="1"/>
  <c r="N388" i="1"/>
  <c r="R388" i="1"/>
  <c r="S388" i="1"/>
  <c r="N389" i="1"/>
  <c r="R389" i="1"/>
  <c r="S389" i="1"/>
  <c r="N390" i="1"/>
  <c r="R390" i="1"/>
  <c r="S390" i="1"/>
  <c r="N391" i="1"/>
  <c r="R391" i="1"/>
  <c r="S391" i="1"/>
  <c r="N392" i="1"/>
  <c r="R392" i="1"/>
  <c r="S392" i="1"/>
  <c r="N393" i="1"/>
  <c r="R393" i="1"/>
  <c r="S393" i="1"/>
  <c r="R394" i="1"/>
  <c r="S394" i="1"/>
  <c r="N395" i="1"/>
  <c r="R395" i="1"/>
  <c r="S395" i="1"/>
  <c r="N396" i="1"/>
  <c r="R396" i="1"/>
  <c r="S396" i="1"/>
  <c r="N397" i="1"/>
  <c r="R397" i="1"/>
  <c r="S397" i="1"/>
  <c r="N398" i="1"/>
  <c r="R398" i="1"/>
  <c r="S398" i="1"/>
  <c r="N399" i="1"/>
  <c r="R399" i="1"/>
  <c r="S399" i="1"/>
  <c r="N400" i="1"/>
  <c r="R400" i="1"/>
  <c r="S400" i="1"/>
  <c r="N401" i="1"/>
  <c r="R401" i="1"/>
  <c r="S401" i="1"/>
  <c r="N402" i="1"/>
  <c r="R402" i="1"/>
  <c r="S402" i="1"/>
  <c r="N403" i="1"/>
  <c r="R403" i="1"/>
  <c r="S403" i="1"/>
  <c r="N404" i="1"/>
  <c r="R404" i="1"/>
  <c r="S404" i="1"/>
  <c r="N405" i="1"/>
  <c r="R405" i="1"/>
  <c r="S405" i="1"/>
  <c r="N406" i="1"/>
  <c r="R406" i="1"/>
  <c r="S406" i="1"/>
  <c r="N407" i="1"/>
  <c r="R407" i="1"/>
  <c r="S407" i="1"/>
  <c r="N408" i="1"/>
  <c r="R408" i="1"/>
  <c r="S408" i="1"/>
  <c r="N409" i="1"/>
  <c r="R409" i="1"/>
  <c r="S409" i="1"/>
  <c r="N410" i="1"/>
  <c r="R410" i="1"/>
  <c r="S410" i="1"/>
  <c r="N411" i="1"/>
  <c r="R411" i="1"/>
  <c r="S411" i="1"/>
  <c r="N412" i="1"/>
  <c r="S412" i="1"/>
  <c r="N413" i="1"/>
  <c r="N414" i="1"/>
  <c r="R414" i="1"/>
  <c r="S414" i="1"/>
  <c r="N415" i="1"/>
  <c r="N416" i="1"/>
  <c r="R416" i="1"/>
  <c r="S416" i="1"/>
  <c r="N417" i="1"/>
  <c r="R417" i="1"/>
  <c r="S417" i="1"/>
  <c r="N418" i="1"/>
  <c r="R418" i="1"/>
  <c r="S418" i="1"/>
  <c r="N419" i="1"/>
  <c r="R419" i="1"/>
  <c r="S419" i="1"/>
  <c r="N420" i="1"/>
  <c r="S420" i="1"/>
  <c r="N421" i="1"/>
  <c r="R421" i="1"/>
  <c r="S421" i="1"/>
  <c r="N422" i="1"/>
  <c r="R422" i="1"/>
  <c r="S422" i="1"/>
  <c r="N423" i="1"/>
  <c r="R423" i="1"/>
  <c r="S423" i="1"/>
  <c r="N424" i="1"/>
  <c r="R424" i="1"/>
  <c r="S424" i="1"/>
  <c r="N425" i="1"/>
  <c r="N426" i="1"/>
  <c r="R426" i="1"/>
  <c r="S426" i="1"/>
  <c r="N427" i="1"/>
  <c r="N428" i="1"/>
  <c r="S428" i="1"/>
  <c r="N429" i="1"/>
  <c r="S429" i="1"/>
  <c r="N430" i="1"/>
  <c r="S430" i="1"/>
  <c r="N431" i="1"/>
  <c r="S431" i="1"/>
  <c r="N432" i="1"/>
  <c r="S432" i="1"/>
  <c r="N433" i="1"/>
  <c r="S433" i="1"/>
  <c r="N434" i="1"/>
  <c r="R434" i="1"/>
  <c r="S434" i="1"/>
  <c r="N435" i="1"/>
  <c r="R435" i="1"/>
  <c r="S435" i="1"/>
  <c r="N436" i="1"/>
  <c r="R436" i="1"/>
  <c r="S436" i="1"/>
  <c r="N437" i="1"/>
  <c r="R437" i="1"/>
  <c r="S437" i="1"/>
  <c r="N438" i="1"/>
  <c r="R438" i="1"/>
  <c r="S438" i="1"/>
  <c r="N439" i="1"/>
  <c r="R439" i="1"/>
  <c r="S439" i="1"/>
  <c r="N440" i="1"/>
  <c r="R440" i="1"/>
  <c r="S440" i="1"/>
  <c r="N441" i="1"/>
  <c r="R441" i="1"/>
  <c r="S441" i="1"/>
  <c r="N442" i="1"/>
  <c r="R442" i="1"/>
  <c r="S442" i="1"/>
  <c r="N443" i="1"/>
  <c r="R443" i="1"/>
  <c r="S443" i="1"/>
  <c r="N444" i="1"/>
  <c r="R444" i="1"/>
  <c r="S444" i="1"/>
  <c r="N445" i="1"/>
  <c r="R445" i="1"/>
  <c r="S445" i="1"/>
  <c r="N446" i="1"/>
  <c r="R446" i="1"/>
  <c r="S446" i="1"/>
  <c r="N447" i="1"/>
  <c r="R447" i="1"/>
  <c r="S447" i="1"/>
  <c r="N448" i="1"/>
  <c r="R448" i="1"/>
  <c r="S448" i="1"/>
  <c r="N449" i="1"/>
  <c r="R449" i="1"/>
  <c r="S449" i="1"/>
  <c r="N450" i="1"/>
  <c r="R450" i="1"/>
  <c r="S450" i="1"/>
  <c r="N451" i="1"/>
  <c r="R451" i="1"/>
  <c r="S451" i="1"/>
  <c r="N452" i="1"/>
  <c r="R452" i="1"/>
  <c r="S452" i="1"/>
  <c r="N453" i="1"/>
  <c r="R453" i="1"/>
  <c r="S453" i="1"/>
  <c r="N454" i="1"/>
  <c r="R454" i="1"/>
  <c r="S454" i="1"/>
  <c r="N455" i="1"/>
  <c r="R455" i="1"/>
  <c r="S455" i="1"/>
  <c r="N456" i="1"/>
  <c r="R456" i="1"/>
  <c r="S456" i="1"/>
  <c r="N457" i="1"/>
  <c r="R457" i="1"/>
  <c r="S457" i="1"/>
  <c r="N458" i="1"/>
  <c r="R458" i="1"/>
  <c r="S458" i="1"/>
  <c r="N459" i="1"/>
  <c r="R459" i="1"/>
  <c r="S459" i="1"/>
  <c r="N460" i="1"/>
  <c r="R460" i="1"/>
  <c r="S460" i="1"/>
  <c r="N461" i="1"/>
  <c r="R461" i="1"/>
  <c r="S461" i="1"/>
  <c r="N462" i="1"/>
  <c r="R462" i="1"/>
  <c r="S462" i="1"/>
  <c r="N463" i="1"/>
  <c r="R463" i="1"/>
  <c r="S463" i="1"/>
  <c r="N464" i="1"/>
  <c r="R464" i="1"/>
  <c r="S464" i="1"/>
  <c r="N465" i="1"/>
  <c r="R465" i="1"/>
  <c r="S465" i="1"/>
  <c r="N466" i="1"/>
  <c r="R466" i="1"/>
  <c r="S466" i="1"/>
  <c r="N467" i="1"/>
  <c r="R467" i="1"/>
  <c r="S467" i="1"/>
  <c r="N468" i="1"/>
  <c r="R468" i="1"/>
  <c r="S468" i="1"/>
  <c r="N469" i="1"/>
  <c r="R469" i="1"/>
  <c r="S469" i="1"/>
  <c r="N470" i="1"/>
  <c r="R470" i="1"/>
  <c r="S470" i="1"/>
  <c r="N471" i="1"/>
  <c r="R471" i="1"/>
  <c r="S471" i="1"/>
  <c r="N472" i="1"/>
  <c r="R472" i="1"/>
  <c r="S472" i="1"/>
  <c r="N473" i="1"/>
  <c r="R473" i="1"/>
  <c r="S473" i="1"/>
  <c r="N474" i="1"/>
  <c r="R474" i="1"/>
  <c r="S474" i="1"/>
  <c r="N475" i="1"/>
  <c r="R475" i="1"/>
  <c r="S475" i="1"/>
  <c r="N476" i="1"/>
  <c r="R476" i="1"/>
  <c r="S476" i="1"/>
  <c r="N477" i="1"/>
  <c r="R477" i="1"/>
  <c r="S477" i="1"/>
  <c r="N478" i="1"/>
  <c r="R478" i="1"/>
  <c r="S478" i="1"/>
  <c r="N479" i="1"/>
  <c r="R479" i="1"/>
  <c r="S479" i="1"/>
  <c r="N480" i="1"/>
  <c r="R480" i="1"/>
  <c r="S480" i="1"/>
  <c r="N481" i="1"/>
  <c r="R481" i="1"/>
  <c r="S481" i="1"/>
  <c r="N482" i="1"/>
  <c r="R482" i="1"/>
  <c r="S482" i="1"/>
  <c r="N483" i="1"/>
  <c r="R483" i="1"/>
  <c r="S483" i="1"/>
  <c r="N484" i="1"/>
  <c r="R484" i="1"/>
  <c r="S484" i="1"/>
  <c r="N485" i="1"/>
  <c r="R485" i="1"/>
  <c r="S485" i="1"/>
  <c r="N486" i="1"/>
  <c r="R486" i="1"/>
  <c r="S486" i="1"/>
  <c r="N487" i="1"/>
  <c r="R487" i="1"/>
  <c r="S487" i="1"/>
  <c r="N488" i="1"/>
  <c r="R488" i="1"/>
  <c r="S488" i="1"/>
  <c r="N489" i="1"/>
  <c r="R489" i="1"/>
  <c r="S489" i="1"/>
  <c r="N490" i="1"/>
  <c r="R490" i="1"/>
  <c r="S490" i="1"/>
  <c r="N491" i="1"/>
  <c r="R491" i="1"/>
  <c r="S491" i="1"/>
  <c r="N492" i="1"/>
  <c r="R492" i="1"/>
  <c r="S492" i="1"/>
  <c r="N493" i="1"/>
  <c r="R493" i="1"/>
  <c r="S493" i="1"/>
  <c r="N494" i="1"/>
  <c r="R494" i="1"/>
  <c r="S494" i="1"/>
  <c r="N495" i="1"/>
  <c r="R495" i="1"/>
  <c r="S495" i="1"/>
  <c r="N496" i="1"/>
  <c r="R496" i="1"/>
  <c r="S496" i="1"/>
  <c r="N497" i="1"/>
  <c r="R497" i="1"/>
  <c r="S497" i="1"/>
  <c r="N498" i="1"/>
  <c r="R498" i="1"/>
  <c r="S498" i="1"/>
  <c r="N499" i="1"/>
  <c r="R499" i="1"/>
  <c r="S499" i="1"/>
  <c r="N500" i="1"/>
  <c r="R500" i="1"/>
  <c r="S500" i="1"/>
  <c r="N501" i="1"/>
  <c r="S501" i="1"/>
  <c r="N502" i="1"/>
  <c r="R502" i="1"/>
  <c r="S502" i="1"/>
  <c r="N503" i="1"/>
  <c r="R503" i="1"/>
  <c r="S503" i="1"/>
  <c r="N504" i="1"/>
  <c r="R504" i="1"/>
  <c r="S504" i="1"/>
  <c r="N505" i="1"/>
  <c r="R505" i="1"/>
  <c r="S505" i="1"/>
  <c r="N506" i="1"/>
  <c r="R506" i="1"/>
  <c r="S506" i="1"/>
  <c r="N507" i="1"/>
  <c r="R507" i="1"/>
  <c r="S507" i="1"/>
  <c r="N508" i="1"/>
  <c r="R508" i="1"/>
  <c r="S508" i="1"/>
  <c r="N509" i="1"/>
  <c r="R509" i="1"/>
  <c r="S509" i="1"/>
  <c r="N510" i="1"/>
  <c r="R510" i="1"/>
  <c r="S510" i="1"/>
  <c r="N511" i="1"/>
  <c r="R511" i="1"/>
  <c r="S511" i="1"/>
  <c r="N512" i="1"/>
  <c r="R512" i="1"/>
  <c r="S512" i="1"/>
  <c r="N513" i="1"/>
  <c r="R513" i="1"/>
  <c r="S513" i="1"/>
  <c r="N514" i="1"/>
  <c r="R514" i="1"/>
  <c r="S514" i="1"/>
  <c r="N515" i="1"/>
  <c r="R515" i="1"/>
  <c r="S515" i="1"/>
  <c r="N516" i="1"/>
  <c r="R516" i="1"/>
  <c r="S516" i="1"/>
  <c r="N517" i="1"/>
  <c r="R517" i="1"/>
  <c r="S517" i="1"/>
  <c r="N518" i="1"/>
  <c r="R518" i="1"/>
  <c r="S518" i="1"/>
  <c r="N519" i="1"/>
  <c r="R519" i="1"/>
  <c r="S519" i="1"/>
  <c r="N520" i="1"/>
  <c r="R520" i="1"/>
  <c r="S520" i="1"/>
  <c r="N521" i="1"/>
  <c r="S521" i="1"/>
  <c r="N522" i="1"/>
  <c r="R522" i="1"/>
  <c r="S522" i="1"/>
  <c r="N523" i="1"/>
  <c r="R523" i="1"/>
  <c r="S523" i="1"/>
  <c r="N524" i="1"/>
  <c r="R524" i="1"/>
  <c r="S524" i="1"/>
  <c r="N525" i="1"/>
  <c r="R525" i="1"/>
  <c r="S525" i="1"/>
  <c r="N526" i="1"/>
  <c r="R526" i="1"/>
  <c r="S526" i="1"/>
  <c r="N527" i="1"/>
  <c r="R527" i="1"/>
  <c r="S527" i="1"/>
  <c r="N528" i="1"/>
  <c r="R528" i="1"/>
  <c r="S528" i="1"/>
  <c r="N529" i="1"/>
  <c r="R529" i="1"/>
  <c r="S529" i="1"/>
  <c r="N530" i="1"/>
  <c r="R530" i="1"/>
  <c r="S530" i="1"/>
  <c r="N531" i="1"/>
  <c r="R531" i="1"/>
  <c r="S531" i="1"/>
  <c r="N532" i="1"/>
  <c r="R532" i="1"/>
  <c r="S532" i="1"/>
  <c r="N533" i="1"/>
  <c r="R533" i="1"/>
  <c r="S533" i="1"/>
  <c r="N534" i="1"/>
  <c r="R534" i="1"/>
  <c r="S534" i="1"/>
  <c r="N535" i="1"/>
  <c r="R535" i="1"/>
  <c r="S535" i="1"/>
  <c r="N536" i="1"/>
  <c r="R536" i="1"/>
  <c r="S536" i="1"/>
  <c r="N537" i="1"/>
  <c r="R537" i="1"/>
  <c r="S537" i="1"/>
  <c r="N538" i="1"/>
  <c r="R538" i="1"/>
  <c r="S538" i="1"/>
  <c r="N539" i="1"/>
  <c r="R539" i="1"/>
  <c r="S539" i="1"/>
  <c r="N540" i="1"/>
  <c r="R540" i="1"/>
  <c r="S540" i="1"/>
  <c r="N541" i="1"/>
  <c r="R541" i="1"/>
  <c r="S541" i="1"/>
  <c r="N542" i="1"/>
  <c r="R542" i="1"/>
  <c r="S542" i="1"/>
  <c r="N543" i="1"/>
  <c r="R543" i="1"/>
  <c r="S543" i="1"/>
  <c r="N544" i="1"/>
  <c r="R544" i="1"/>
  <c r="S544" i="1"/>
  <c r="N545" i="1"/>
  <c r="R545" i="1"/>
  <c r="S545" i="1"/>
  <c r="N546" i="1"/>
  <c r="R546" i="1"/>
  <c r="S546" i="1"/>
  <c r="N547" i="1"/>
  <c r="R547" i="1"/>
  <c r="S547" i="1"/>
  <c r="N548" i="1"/>
  <c r="R548" i="1"/>
  <c r="S548" i="1"/>
  <c r="N549" i="1"/>
  <c r="R549" i="1"/>
  <c r="S549" i="1"/>
  <c r="N550" i="1"/>
  <c r="R550" i="1"/>
  <c r="S550" i="1"/>
  <c r="N551" i="1"/>
  <c r="R551" i="1"/>
  <c r="S551" i="1"/>
  <c r="N552" i="1"/>
  <c r="R552" i="1"/>
  <c r="S552" i="1"/>
  <c r="N553" i="1"/>
  <c r="R553" i="1"/>
  <c r="S553" i="1"/>
  <c r="N554" i="1"/>
  <c r="R554" i="1"/>
  <c r="S554" i="1"/>
  <c r="N555" i="1"/>
  <c r="S555" i="1"/>
  <c r="N556" i="1"/>
  <c r="R556" i="1"/>
  <c r="S556" i="1"/>
  <c r="N557" i="1"/>
  <c r="R557" i="1"/>
  <c r="S557" i="1"/>
  <c r="N558" i="1"/>
  <c r="R558" i="1"/>
  <c r="S558" i="1"/>
  <c r="N559" i="1"/>
  <c r="R559" i="1"/>
  <c r="S559" i="1"/>
  <c r="N560" i="1"/>
  <c r="R560" i="1"/>
  <c r="S560" i="1"/>
  <c r="N561" i="1"/>
  <c r="R561" i="1"/>
  <c r="S561" i="1"/>
  <c r="N562" i="1"/>
  <c r="R562" i="1"/>
  <c r="S562" i="1"/>
  <c r="N563" i="1"/>
  <c r="R563" i="1"/>
  <c r="S563" i="1"/>
  <c r="N564" i="1"/>
  <c r="R564" i="1"/>
  <c r="S564" i="1"/>
  <c r="N565" i="1"/>
  <c r="R565" i="1"/>
  <c r="S565" i="1"/>
  <c r="N566" i="1"/>
  <c r="R566" i="1"/>
  <c r="S566" i="1"/>
  <c r="N567" i="1"/>
  <c r="R567" i="1"/>
  <c r="S567" i="1"/>
  <c r="N568" i="1"/>
  <c r="R568" i="1"/>
  <c r="S568" i="1"/>
  <c r="N569" i="1"/>
  <c r="R569" i="1"/>
  <c r="S569" i="1"/>
  <c r="N570" i="1"/>
  <c r="R570" i="1"/>
  <c r="S570" i="1"/>
  <c r="N571" i="1"/>
  <c r="R571" i="1"/>
  <c r="S571" i="1"/>
  <c r="N572" i="1"/>
  <c r="R572" i="1"/>
  <c r="S572" i="1"/>
  <c r="N573" i="1"/>
  <c r="R573" i="1"/>
  <c r="S573" i="1"/>
  <c r="N574" i="1"/>
  <c r="R574" i="1"/>
  <c r="S574" i="1"/>
  <c r="N575" i="1"/>
  <c r="R575" i="1"/>
  <c r="S575" i="1"/>
  <c r="N576" i="1"/>
  <c r="R576" i="1"/>
  <c r="S576" i="1"/>
  <c r="N577" i="1"/>
  <c r="R577" i="1"/>
  <c r="S577" i="1"/>
  <c r="N578" i="1"/>
  <c r="R578" i="1"/>
  <c r="S578" i="1"/>
  <c r="N579" i="1"/>
  <c r="R579" i="1"/>
  <c r="S579" i="1"/>
  <c r="N580" i="1"/>
  <c r="R580" i="1"/>
  <c r="S580" i="1"/>
  <c r="N581" i="1"/>
  <c r="R581" i="1"/>
  <c r="S581" i="1"/>
  <c r="N582" i="1"/>
  <c r="R582" i="1"/>
  <c r="S582" i="1"/>
  <c r="N583" i="1"/>
  <c r="R583" i="1"/>
  <c r="S583" i="1"/>
  <c r="N584" i="1"/>
  <c r="R584" i="1"/>
  <c r="S584" i="1"/>
  <c r="N585" i="1"/>
  <c r="R585" i="1"/>
  <c r="S585" i="1"/>
  <c r="N586" i="1"/>
  <c r="R586" i="1"/>
  <c r="S586" i="1"/>
  <c r="N587" i="1"/>
  <c r="R587" i="1"/>
  <c r="S587" i="1"/>
  <c r="N588" i="1"/>
  <c r="R588" i="1"/>
  <c r="S588" i="1"/>
  <c r="N589" i="1"/>
  <c r="R589" i="1"/>
  <c r="S589" i="1"/>
  <c r="N590" i="1"/>
  <c r="R590" i="1"/>
  <c r="S590" i="1"/>
  <c r="N591" i="1"/>
  <c r="R591" i="1"/>
  <c r="S591" i="1"/>
  <c r="N592" i="1"/>
  <c r="R592" i="1"/>
  <c r="S592" i="1"/>
  <c r="N593" i="1"/>
  <c r="R593" i="1"/>
  <c r="S593" i="1"/>
  <c r="N594" i="1"/>
  <c r="R594" i="1"/>
  <c r="S594" i="1"/>
  <c r="N595" i="1"/>
  <c r="R595" i="1"/>
  <c r="S595" i="1"/>
  <c r="N596" i="1"/>
  <c r="R596" i="1"/>
  <c r="S596" i="1"/>
  <c r="N597" i="1"/>
  <c r="R597" i="1"/>
  <c r="S597" i="1"/>
  <c r="N598" i="1"/>
  <c r="R598" i="1"/>
  <c r="S598" i="1"/>
  <c r="N599" i="1"/>
  <c r="R599" i="1"/>
  <c r="S599" i="1"/>
  <c r="N600" i="1"/>
  <c r="R600" i="1"/>
  <c r="S600" i="1"/>
  <c r="N601" i="1"/>
  <c r="R601" i="1"/>
  <c r="S601" i="1"/>
  <c r="N602" i="1"/>
  <c r="R602" i="1"/>
  <c r="S602" i="1"/>
  <c r="N603" i="1"/>
  <c r="R603" i="1"/>
  <c r="S603" i="1"/>
  <c r="N604" i="1"/>
  <c r="R604" i="1"/>
  <c r="S604" i="1"/>
  <c r="N605" i="1"/>
  <c r="R605" i="1"/>
  <c r="S605" i="1"/>
  <c r="N606" i="1"/>
  <c r="R606" i="1"/>
  <c r="S606" i="1"/>
  <c r="N607" i="1"/>
  <c r="R607" i="1"/>
  <c r="S607" i="1"/>
  <c r="N608" i="1"/>
  <c r="R608" i="1"/>
  <c r="S608" i="1"/>
  <c r="N609" i="1"/>
  <c r="R609" i="1"/>
  <c r="S609" i="1"/>
  <c r="N610" i="1"/>
  <c r="R610" i="1"/>
  <c r="S610" i="1"/>
  <c r="N611" i="1"/>
  <c r="R611" i="1"/>
  <c r="S611" i="1"/>
  <c r="N612" i="1"/>
  <c r="R612" i="1"/>
  <c r="S612" i="1"/>
  <c r="N613" i="1"/>
  <c r="R613" i="1"/>
  <c r="S613" i="1"/>
  <c r="N614" i="1"/>
  <c r="R614" i="1"/>
  <c r="S614" i="1"/>
  <c r="N615" i="1"/>
  <c r="R615" i="1"/>
  <c r="S615" i="1"/>
  <c r="N616" i="1"/>
  <c r="R616" i="1"/>
  <c r="S616" i="1"/>
  <c r="N617" i="1"/>
  <c r="R617" i="1"/>
  <c r="S617" i="1"/>
  <c r="N618" i="1"/>
  <c r="R618" i="1"/>
  <c r="S618" i="1"/>
  <c r="N619" i="1"/>
  <c r="R619" i="1"/>
  <c r="S619" i="1"/>
  <c r="N620" i="1"/>
  <c r="R620" i="1"/>
  <c r="S620" i="1"/>
  <c r="N621" i="1"/>
  <c r="R621" i="1"/>
  <c r="S621" i="1"/>
  <c r="N622" i="1"/>
  <c r="R622" i="1"/>
  <c r="S622" i="1"/>
  <c r="N623" i="1"/>
  <c r="R623" i="1"/>
  <c r="S623" i="1"/>
  <c r="N624" i="1"/>
  <c r="R624" i="1"/>
  <c r="S624" i="1"/>
  <c r="N625" i="1"/>
  <c r="R625" i="1"/>
  <c r="S625" i="1"/>
  <c r="N626" i="1"/>
  <c r="R626" i="1"/>
  <c r="S626" i="1"/>
  <c r="N627" i="1"/>
  <c r="R627" i="1"/>
  <c r="S627" i="1"/>
  <c r="N628" i="1"/>
  <c r="R628" i="1"/>
  <c r="S628" i="1"/>
  <c r="N629" i="1"/>
  <c r="R629" i="1"/>
  <c r="S629" i="1"/>
  <c r="N630" i="1"/>
  <c r="R630" i="1"/>
  <c r="S630" i="1"/>
  <c r="N631" i="1"/>
  <c r="R631" i="1"/>
  <c r="S631" i="1"/>
  <c r="N632" i="1"/>
  <c r="R632" i="1"/>
  <c r="S632" i="1"/>
  <c r="N633" i="1"/>
  <c r="R633" i="1"/>
  <c r="S633" i="1"/>
  <c r="N634" i="1"/>
  <c r="R634" i="1"/>
  <c r="S634" i="1"/>
  <c r="N635" i="1"/>
  <c r="R635" i="1"/>
  <c r="S635" i="1"/>
  <c r="N636" i="1"/>
  <c r="R636" i="1"/>
  <c r="S636" i="1"/>
  <c r="N637" i="1"/>
  <c r="R637" i="1"/>
  <c r="S637" i="1"/>
  <c r="N638" i="1"/>
  <c r="R638" i="1"/>
  <c r="S638" i="1"/>
  <c r="N639" i="1"/>
  <c r="R639" i="1"/>
  <c r="S639" i="1"/>
  <c r="N640" i="1"/>
  <c r="R640" i="1"/>
  <c r="S640" i="1"/>
  <c r="N641" i="1"/>
  <c r="R641" i="1"/>
  <c r="S641" i="1"/>
  <c r="N642" i="1"/>
  <c r="R642" i="1"/>
  <c r="S642" i="1"/>
  <c r="N643" i="1"/>
  <c r="R643" i="1"/>
  <c r="S643" i="1"/>
  <c r="N644" i="1"/>
  <c r="R644" i="1"/>
  <c r="S644" i="1"/>
  <c r="N645" i="1"/>
  <c r="R645" i="1"/>
  <c r="S645" i="1"/>
  <c r="N646" i="1"/>
  <c r="R646" i="1"/>
  <c r="S646" i="1"/>
  <c r="N647" i="1"/>
  <c r="R647" i="1"/>
  <c r="S647" i="1"/>
  <c r="N648" i="1"/>
  <c r="R648" i="1"/>
  <c r="S648" i="1"/>
  <c r="N649" i="1"/>
  <c r="R649" i="1"/>
  <c r="S649" i="1"/>
  <c r="N650" i="1"/>
  <c r="R650" i="1"/>
  <c r="S650" i="1"/>
  <c r="N651" i="1"/>
  <c r="R651" i="1"/>
  <c r="S651" i="1"/>
  <c r="N652" i="1"/>
  <c r="R652" i="1"/>
  <c r="S652" i="1"/>
  <c r="N653" i="1"/>
  <c r="R653" i="1"/>
  <c r="S653" i="1"/>
  <c r="N654" i="1"/>
  <c r="R654" i="1"/>
  <c r="S654" i="1"/>
  <c r="N655" i="1"/>
  <c r="R655" i="1"/>
  <c r="S655" i="1"/>
  <c r="N656" i="1"/>
  <c r="R656" i="1"/>
  <c r="S656" i="1"/>
  <c r="N657" i="1"/>
  <c r="R657" i="1"/>
  <c r="S657" i="1"/>
  <c r="N658" i="1"/>
  <c r="R658" i="1"/>
  <c r="S658" i="1"/>
  <c r="N659" i="1"/>
  <c r="R659" i="1"/>
  <c r="S659" i="1"/>
  <c r="N660" i="1"/>
  <c r="R660" i="1"/>
  <c r="S660" i="1"/>
  <c r="N661" i="1"/>
  <c r="R661" i="1"/>
  <c r="S661" i="1"/>
  <c r="N662" i="1"/>
  <c r="R662" i="1"/>
  <c r="S662" i="1"/>
  <c r="N663" i="1"/>
  <c r="R663" i="1"/>
  <c r="S663" i="1"/>
  <c r="N664" i="1"/>
  <c r="R664" i="1"/>
  <c r="S664" i="1"/>
  <c r="N665" i="1"/>
  <c r="R665" i="1"/>
  <c r="S665" i="1"/>
  <c r="N666" i="1"/>
  <c r="R666" i="1"/>
  <c r="S666" i="1"/>
  <c r="N667" i="1"/>
  <c r="R667" i="1"/>
  <c r="S667" i="1"/>
  <c r="N668" i="1"/>
  <c r="R668" i="1"/>
  <c r="S668" i="1"/>
  <c r="N669" i="1"/>
  <c r="R669" i="1"/>
  <c r="S669" i="1"/>
  <c r="N670" i="1"/>
  <c r="R670" i="1"/>
  <c r="S670" i="1"/>
  <c r="N671" i="1"/>
  <c r="R671" i="1"/>
  <c r="S671" i="1"/>
  <c r="N672" i="1"/>
  <c r="R672" i="1"/>
  <c r="S672" i="1"/>
  <c r="N673" i="1"/>
  <c r="R673" i="1"/>
  <c r="S673" i="1"/>
  <c r="N674" i="1"/>
  <c r="R674" i="1"/>
  <c r="S674" i="1"/>
  <c r="N675" i="1"/>
  <c r="R675" i="1"/>
  <c r="S675" i="1"/>
  <c r="N676" i="1"/>
  <c r="R676" i="1"/>
  <c r="S676" i="1"/>
  <c r="N677" i="1"/>
  <c r="R677" i="1"/>
  <c r="S677" i="1"/>
  <c r="N678" i="1"/>
  <c r="R678" i="1"/>
  <c r="S678" i="1"/>
  <c r="N679" i="1"/>
  <c r="R679" i="1"/>
  <c r="S679" i="1"/>
  <c r="N680" i="1"/>
  <c r="R680" i="1"/>
  <c r="S680" i="1"/>
  <c r="N681" i="1"/>
  <c r="R681" i="1"/>
  <c r="S681" i="1"/>
  <c r="N682" i="1"/>
  <c r="R682" i="1"/>
  <c r="S682" i="1"/>
  <c r="N683" i="1"/>
  <c r="R683" i="1"/>
  <c r="S683" i="1"/>
  <c r="N684" i="1"/>
  <c r="R684" i="1"/>
  <c r="S684" i="1"/>
  <c r="N685" i="1"/>
  <c r="R685" i="1"/>
  <c r="S685" i="1"/>
  <c r="N686" i="1"/>
  <c r="R686" i="1"/>
  <c r="S686" i="1"/>
  <c r="N687" i="1"/>
  <c r="R687" i="1"/>
  <c r="S687" i="1"/>
  <c r="N688" i="1"/>
  <c r="R688" i="1"/>
  <c r="S688" i="1"/>
  <c r="N689" i="1"/>
  <c r="R689" i="1"/>
  <c r="S689" i="1"/>
  <c r="N690" i="1"/>
  <c r="R690" i="1"/>
  <c r="S690" i="1"/>
  <c r="N691" i="1"/>
  <c r="R691" i="1"/>
  <c r="S691" i="1"/>
  <c r="N692" i="1"/>
  <c r="R692" i="1"/>
  <c r="S692" i="1"/>
  <c r="N693" i="1"/>
  <c r="R693" i="1"/>
  <c r="S693" i="1"/>
  <c r="N694" i="1"/>
  <c r="R694" i="1"/>
  <c r="S694" i="1"/>
  <c r="N695" i="1"/>
  <c r="R695" i="1"/>
  <c r="S695" i="1"/>
  <c r="N696" i="1"/>
  <c r="R696" i="1"/>
  <c r="S696" i="1"/>
  <c r="N697" i="1"/>
  <c r="R697" i="1"/>
  <c r="S697" i="1"/>
  <c r="N698" i="1"/>
  <c r="R698" i="1"/>
  <c r="S698" i="1"/>
  <c r="N699" i="1"/>
  <c r="R699" i="1"/>
  <c r="S699" i="1"/>
  <c r="N700" i="1"/>
  <c r="R700" i="1"/>
  <c r="S700" i="1"/>
  <c r="N701" i="1"/>
  <c r="R701" i="1"/>
  <c r="S701" i="1"/>
  <c r="N702" i="1"/>
  <c r="R702" i="1"/>
  <c r="S702" i="1"/>
  <c r="N703" i="1"/>
  <c r="R703" i="1"/>
  <c r="S703" i="1"/>
  <c r="N704" i="1"/>
  <c r="R704" i="1"/>
  <c r="S704" i="1"/>
  <c r="N705" i="1"/>
  <c r="R705" i="1"/>
  <c r="S705" i="1"/>
  <c r="N706" i="1"/>
  <c r="R706" i="1"/>
  <c r="S706" i="1"/>
  <c r="N707" i="1"/>
  <c r="R707" i="1"/>
  <c r="S707" i="1"/>
  <c r="N708" i="1"/>
  <c r="R708" i="1"/>
  <c r="S708" i="1"/>
  <c r="N709" i="1"/>
  <c r="R709" i="1"/>
  <c r="S709" i="1"/>
  <c r="N710" i="1"/>
  <c r="R710" i="1"/>
  <c r="S710" i="1"/>
  <c r="N711" i="1"/>
  <c r="R711" i="1"/>
  <c r="S711" i="1"/>
  <c r="N712" i="1"/>
  <c r="R712" i="1"/>
  <c r="S712" i="1"/>
  <c r="N713" i="1"/>
  <c r="R713" i="1"/>
  <c r="S713" i="1"/>
  <c r="N714" i="1"/>
  <c r="R714" i="1"/>
  <c r="S714" i="1"/>
  <c r="N715" i="1"/>
  <c r="R715" i="1"/>
  <c r="S715" i="1"/>
  <c r="N716" i="1"/>
  <c r="R716" i="1"/>
  <c r="S716" i="1"/>
  <c r="N717" i="1"/>
  <c r="R717" i="1"/>
  <c r="S717" i="1"/>
  <c r="N718" i="1"/>
  <c r="R718" i="1"/>
  <c r="S718" i="1"/>
  <c r="N719" i="1"/>
  <c r="R719" i="1"/>
  <c r="S719" i="1"/>
  <c r="N720" i="1"/>
  <c r="R720" i="1"/>
  <c r="S720" i="1"/>
  <c r="N721" i="1"/>
  <c r="R721" i="1"/>
  <c r="S721" i="1"/>
  <c r="N722" i="1"/>
  <c r="R722" i="1"/>
  <c r="S722" i="1"/>
  <c r="N723" i="1"/>
  <c r="R723" i="1"/>
  <c r="S723" i="1"/>
  <c r="N724" i="1"/>
  <c r="R724" i="1"/>
  <c r="S724" i="1"/>
  <c r="N725" i="1"/>
  <c r="R725" i="1"/>
  <c r="S725" i="1"/>
  <c r="N726" i="1"/>
  <c r="R726" i="1"/>
  <c r="S726" i="1"/>
  <c r="N727" i="1"/>
  <c r="R727" i="1"/>
  <c r="S727" i="1"/>
  <c r="N728" i="1"/>
  <c r="R728" i="1"/>
  <c r="S728" i="1"/>
  <c r="N729" i="1"/>
  <c r="R729" i="1"/>
  <c r="S729" i="1"/>
  <c r="N730" i="1"/>
  <c r="R730" i="1"/>
  <c r="S730" i="1"/>
  <c r="N731" i="1"/>
  <c r="R731" i="1"/>
  <c r="S731" i="1"/>
  <c r="N732" i="1"/>
  <c r="R732" i="1"/>
  <c r="S732" i="1"/>
  <c r="N733" i="1"/>
  <c r="R733" i="1"/>
  <c r="S733" i="1"/>
  <c r="N734" i="1"/>
  <c r="R734" i="1"/>
  <c r="S734" i="1"/>
  <c r="N735" i="1"/>
  <c r="R735" i="1"/>
  <c r="S735" i="1"/>
  <c r="N736" i="1"/>
  <c r="R736" i="1"/>
  <c r="S736" i="1"/>
  <c r="N737" i="1"/>
  <c r="R737" i="1"/>
  <c r="S737" i="1"/>
  <c r="N738" i="1"/>
  <c r="R738" i="1"/>
  <c r="S738" i="1"/>
  <c r="N739" i="1"/>
  <c r="R739" i="1"/>
  <c r="S739" i="1"/>
  <c r="N740" i="1"/>
  <c r="R740" i="1"/>
  <c r="S740" i="1"/>
  <c r="N741" i="1"/>
  <c r="R741" i="1"/>
  <c r="S741" i="1"/>
  <c r="N742" i="1"/>
  <c r="R742" i="1"/>
  <c r="S742" i="1"/>
  <c r="N743" i="1"/>
  <c r="R743" i="1"/>
  <c r="S743" i="1"/>
  <c r="N744" i="1"/>
  <c r="R744" i="1"/>
  <c r="S744" i="1"/>
  <c r="N745" i="1"/>
  <c r="R745" i="1"/>
  <c r="S745" i="1"/>
  <c r="N746" i="1"/>
  <c r="R746" i="1"/>
  <c r="S746" i="1"/>
  <c r="N747" i="1"/>
  <c r="R747" i="1"/>
  <c r="S747" i="1"/>
  <c r="N748" i="1"/>
  <c r="R748" i="1"/>
  <c r="S748" i="1"/>
  <c r="N749" i="1"/>
  <c r="R749" i="1"/>
  <c r="S749" i="1"/>
  <c r="N750" i="1"/>
  <c r="R750" i="1"/>
  <c r="S750" i="1"/>
  <c r="N751" i="1"/>
  <c r="R751" i="1"/>
  <c r="S751" i="1"/>
  <c r="N752" i="1"/>
  <c r="R752" i="1"/>
  <c r="S752" i="1"/>
  <c r="N753" i="1"/>
  <c r="R753" i="1"/>
  <c r="S753" i="1"/>
  <c r="N754" i="1"/>
  <c r="R754" i="1"/>
  <c r="S754" i="1"/>
  <c r="N755" i="1"/>
  <c r="R755" i="1"/>
  <c r="S755" i="1"/>
  <c r="N756" i="1"/>
  <c r="R756" i="1"/>
  <c r="S756" i="1"/>
  <c r="N757" i="1"/>
  <c r="R757" i="1"/>
  <c r="S757" i="1"/>
  <c r="N758" i="1"/>
  <c r="R758" i="1"/>
  <c r="S758" i="1"/>
  <c r="N759" i="1"/>
  <c r="R759" i="1"/>
  <c r="S759" i="1"/>
  <c r="N760" i="1"/>
  <c r="R760" i="1"/>
  <c r="S760" i="1"/>
  <c r="N761" i="1"/>
  <c r="R761" i="1"/>
  <c r="S761" i="1"/>
  <c r="N762" i="1"/>
  <c r="R762" i="1"/>
  <c r="S762" i="1"/>
  <c r="N763" i="1"/>
  <c r="R763" i="1"/>
  <c r="S763" i="1"/>
  <c r="N764" i="1"/>
  <c r="R764" i="1"/>
  <c r="S764" i="1"/>
  <c r="N765" i="1"/>
  <c r="R765" i="1"/>
  <c r="S765" i="1"/>
  <c r="N766" i="1"/>
  <c r="R766" i="1"/>
  <c r="S766" i="1"/>
  <c r="N767" i="1"/>
  <c r="R767" i="1"/>
  <c r="S767" i="1"/>
  <c r="N768" i="1"/>
  <c r="R768" i="1"/>
  <c r="S768" i="1"/>
  <c r="N769" i="1"/>
  <c r="R769" i="1"/>
  <c r="S769" i="1"/>
  <c r="N770" i="1"/>
  <c r="R770" i="1"/>
  <c r="S770" i="1"/>
  <c r="N771" i="1"/>
  <c r="R771" i="1"/>
  <c r="S771" i="1"/>
  <c r="N772" i="1"/>
  <c r="R772" i="1"/>
  <c r="S772" i="1"/>
  <c r="N773" i="1"/>
  <c r="R773" i="1"/>
  <c r="S773" i="1"/>
  <c r="N774" i="1"/>
  <c r="R774" i="1"/>
  <c r="S774" i="1"/>
  <c r="N775" i="1"/>
  <c r="R775" i="1"/>
  <c r="S775" i="1"/>
  <c r="N776" i="1"/>
  <c r="R776" i="1"/>
  <c r="S776" i="1"/>
  <c r="N777" i="1"/>
  <c r="R777" i="1"/>
  <c r="S777" i="1"/>
  <c r="N778" i="1"/>
  <c r="R778" i="1"/>
  <c r="S778" i="1"/>
  <c r="N779" i="1"/>
  <c r="R779" i="1"/>
  <c r="S779" i="1"/>
  <c r="N780" i="1"/>
  <c r="R780" i="1"/>
  <c r="S780" i="1"/>
  <c r="N781" i="1"/>
  <c r="R781" i="1"/>
  <c r="S781" i="1"/>
  <c r="N782" i="1"/>
  <c r="R782" i="1"/>
  <c r="S782" i="1"/>
  <c r="N783" i="1"/>
  <c r="R783" i="1"/>
  <c r="S783" i="1"/>
  <c r="N784" i="1"/>
  <c r="R784" i="1"/>
  <c r="S784" i="1"/>
  <c r="N785" i="1"/>
  <c r="R785" i="1"/>
  <c r="S785" i="1"/>
  <c r="N786" i="1"/>
  <c r="R786" i="1"/>
  <c r="S786" i="1"/>
  <c r="N787" i="1"/>
  <c r="R787" i="1"/>
  <c r="S787" i="1"/>
  <c r="N788" i="1"/>
  <c r="R788" i="1"/>
  <c r="S788" i="1"/>
  <c r="N789" i="1"/>
  <c r="R789" i="1"/>
  <c r="S789" i="1"/>
  <c r="N790" i="1"/>
  <c r="R790" i="1"/>
  <c r="S790" i="1"/>
  <c r="N791" i="1"/>
  <c r="R791" i="1"/>
  <c r="S791" i="1"/>
  <c r="N792" i="1"/>
  <c r="R792" i="1"/>
  <c r="S792" i="1"/>
  <c r="N793" i="1"/>
  <c r="R793" i="1"/>
  <c r="S793" i="1"/>
  <c r="N794" i="1"/>
  <c r="R794" i="1"/>
  <c r="S794" i="1"/>
  <c r="N795" i="1"/>
  <c r="R795" i="1"/>
  <c r="S795" i="1"/>
  <c r="N796" i="1"/>
  <c r="R796" i="1"/>
  <c r="S796" i="1"/>
  <c r="N797" i="1"/>
  <c r="R797" i="1"/>
  <c r="S797" i="1"/>
  <c r="N798" i="1"/>
  <c r="R798" i="1"/>
  <c r="S798" i="1"/>
  <c r="N799" i="1"/>
  <c r="R799" i="1"/>
  <c r="S799" i="1"/>
  <c r="N800" i="1"/>
  <c r="R800" i="1"/>
  <c r="S800" i="1"/>
  <c r="N801" i="1"/>
  <c r="R801" i="1"/>
  <c r="S801" i="1"/>
  <c r="N802" i="1"/>
  <c r="R802" i="1"/>
  <c r="S802" i="1"/>
  <c r="N803" i="1"/>
  <c r="R803" i="1"/>
  <c r="S803" i="1"/>
  <c r="N804" i="1"/>
  <c r="R804" i="1"/>
  <c r="S804" i="1"/>
  <c r="N805" i="1"/>
  <c r="R805" i="1"/>
  <c r="S805" i="1"/>
  <c r="N806" i="1"/>
  <c r="R806" i="1"/>
  <c r="S806" i="1"/>
  <c r="N807" i="1"/>
  <c r="R807" i="1"/>
  <c r="S807" i="1"/>
  <c r="N808" i="1"/>
  <c r="R808" i="1"/>
  <c r="S808" i="1"/>
  <c r="N809" i="1"/>
  <c r="R809" i="1"/>
  <c r="S809" i="1"/>
  <c r="N810" i="1"/>
  <c r="R810" i="1"/>
  <c r="S810" i="1"/>
  <c r="N811" i="1"/>
  <c r="R811" i="1"/>
  <c r="S811" i="1"/>
  <c r="N812" i="1"/>
  <c r="R812" i="1"/>
  <c r="S812" i="1"/>
  <c r="N813" i="1"/>
  <c r="R813" i="1"/>
  <c r="S813" i="1"/>
  <c r="N814" i="1"/>
  <c r="R814" i="1"/>
  <c r="S814" i="1"/>
  <c r="N815" i="1"/>
  <c r="R815" i="1"/>
  <c r="S815" i="1"/>
  <c r="N816" i="1"/>
  <c r="R816" i="1"/>
  <c r="S816" i="1"/>
  <c r="N817" i="1"/>
  <c r="R817" i="1"/>
  <c r="S817" i="1"/>
  <c r="N818" i="1"/>
  <c r="R818" i="1"/>
  <c r="S818" i="1"/>
  <c r="N819" i="1"/>
  <c r="R819" i="1"/>
  <c r="S819" i="1"/>
  <c r="N820" i="1"/>
  <c r="R820" i="1"/>
  <c r="S820" i="1"/>
  <c r="N821" i="1"/>
  <c r="R821" i="1"/>
  <c r="S821" i="1"/>
  <c r="N822" i="1"/>
  <c r="R822" i="1"/>
  <c r="S822" i="1"/>
  <c r="N823" i="1"/>
  <c r="R823" i="1"/>
  <c r="S823" i="1"/>
  <c r="N824" i="1"/>
  <c r="R824" i="1"/>
  <c r="S824" i="1"/>
  <c r="N825" i="1"/>
  <c r="R825" i="1"/>
  <c r="S825" i="1"/>
  <c r="N826" i="1"/>
  <c r="R826" i="1"/>
  <c r="S826" i="1"/>
  <c r="N827" i="1"/>
  <c r="R827" i="1"/>
  <c r="S827" i="1"/>
  <c r="N828" i="1"/>
  <c r="R828" i="1"/>
  <c r="S828" i="1"/>
  <c r="N829" i="1"/>
  <c r="R829" i="1"/>
  <c r="S829" i="1"/>
  <c r="N830" i="1"/>
  <c r="R830" i="1"/>
  <c r="S830" i="1"/>
  <c r="N831" i="1"/>
  <c r="R831" i="1"/>
  <c r="S831" i="1"/>
  <c r="N832" i="1"/>
  <c r="R832" i="1"/>
  <c r="S832" i="1"/>
  <c r="N833" i="1"/>
  <c r="N834" i="1"/>
  <c r="R834" i="1"/>
  <c r="S834" i="1"/>
  <c r="N835" i="1"/>
  <c r="R835" i="1"/>
  <c r="S835" i="1"/>
  <c r="N836" i="1"/>
  <c r="R836" i="1"/>
  <c r="S836" i="1"/>
  <c r="N837" i="1"/>
  <c r="R837" i="1"/>
  <c r="S837" i="1"/>
  <c r="N838" i="1"/>
  <c r="R838" i="1"/>
  <c r="S838" i="1"/>
  <c r="N839" i="1"/>
  <c r="R839" i="1"/>
  <c r="S839" i="1"/>
  <c r="N840" i="1"/>
  <c r="R840" i="1"/>
  <c r="S840" i="1"/>
  <c r="N841" i="1"/>
  <c r="R841" i="1"/>
  <c r="S841" i="1"/>
  <c r="N842" i="1"/>
  <c r="R842" i="1"/>
  <c r="S842" i="1"/>
  <c r="N843" i="1"/>
  <c r="R843" i="1"/>
  <c r="S843" i="1"/>
  <c r="N844" i="1"/>
  <c r="R844" i="1"/>
  <c r="S844" i="1"/>
  <c r="N845" i="1"/>
  <c r="R845" i="1"/>
  <c r="S845" i="1"/>
  <c r="N846" i="1"/>
  <c r="R846" i="1"/>
  <c r="S846" i="1"/>
  <c r="N847" i="1"/>
  <c r="R847" i="1"/>
  <c r="S847" i="1"/>
  <c r="N848" i="1"/>
  <c r="R848" i="1"/>
  <c r="S848" i="1"/>
  <c r="N849" i="1"/>
  <c r="R849" i="1"/>
  <c r="S849" i="1"/>
  <c r="N850" i="1"/>
  <c r="R850" i="1"/>
  <c r="S850" i="1"/>
  <c r="N851" i="1"/>
  <c r="R851" i="1"/>
  <c r="S851" i="1"/>
  <c r="N852" i="1"/>
  <c r="S852" i="1"/>
  <c r="N853" i="1"/>
  <c r="R853" i="1"/>
  <c r="S853" i="1"/>
  <c r="N854" i="1"/>
  <c r="R854" i="1"/>
  <c r="S854" i="1"/>
  <c r="N855" i="1"/>
  <c r="R855" i="1"/>
  <c r="S855" i="1"/>
  <c r="N856" i="1"/>
  <c r="R856" i="1"/>
  <c r="S856" i="1"/>
  <c r="N857" i="1"/>
  <c r="R857" i="1"/>
  <c r="S857" i="1"/>
  <c r="N858" i="1"/>
  <c r="S858" i="1"/>
  <c r="N859" i="1"/>
  <c r="R859" i="1"/>
  <c r="S859" i="1"/>
  <c r="N860" i="1"/>
  <c r="R860" i="1"/>
  <c r="S860" i="1"/>
  <c r="N861" i="1"/>
  <c r="R861" i="1"/>
  <c r="S861" i="1"/>
  <c r="N862" i="1"/>
  <c r="R862" i="1"/>
  <c r="S862" i="1"/>
  <c r="N863" i="1"/>
  <c r="R863" i="1"/>
  <c r="S863" i="1"/>
  <c r="N864" i="1"/>
  <c r="R864" i="1"/>
  <c r="S864" i="1"/>
  <c r="N865" i="1"/>
  <c r="R865" i="1"/>
  <c r="S865" i="1"/>
  <c r="N866" i="1"/>
  <c r="S866" i="1"/>
  <c r="N867" i="1"/>
  <c r="S867" i="1"/>
  <c r="N868" i="1"/>
  <c r="R868" i="1"/>
  <c r="S868" i="1"/>
  <c r="N869" i="1"/>
  <c r="R869" i="1"/>
  <c r="S869" i="1"/>
  <c r="N870" i="1"/>
  <c r="S870" i="1"/>
  <c r="N871" i="1"/>
  <c r="R871" i="1"/>
  <c r="S871" i="1"/>
  <c r="N872" i="1"/>
  <c r="S872" i="1"/>
  <c r="N873" i="1"/>
  <c r="R873" i="1"/>
  <c r="S873" i="1"/>
  <c r="N874" i="1"/>
  <c r="R874" i="1"/>
  <c r="S874" i="1"/>
  <c r="N875" i="1"/>
  <c r="R875" i="1"/>
  <c r="S875" i="1"/>
  <c r="N876" i="1"/>
  <c r="R876" i="1"/>
  <c r="S876" i="1"/>
  <c r="N877" i="1"/>
  <c r="R877" i="1"/>
  <c r="S877" i="1"/>
  <c r="N878" i="1"/>
  <c r="S878" i="1"/>
  <c r="N879" i="1"/>
  <c r="S879" i="1"/>
  <c r="N880" i="1"/>
  <c r="S880" i="1"/>
  <c r="N881" i="1"/>
  <c r="S881" i="1"/>
  <c r="N882" i="1"/>
  <c r="R882" i="1"/>
  <c r="S882" i="1"/>
  <c r="N883" i="1"/>
  <c r="R883" i="1"/>
  <c r="S883" i="1"/>
  <c r="N884" i="1"/>
  <c r="R884" i="1"/>
  <c r="S884" i="1"/>
  <c r="N885" i="1"/>
  <c r="R885" i="1"/>
  <c r="S885" i="1"/>
  <c r="N886" i="1"/>
  <c r="R886" i="1"/>
  <c r="S886" i="1"/>
  <c r="N887" i="1"/>
  <c r="R887" i="1"/>
  <c r="S887" i="1"/>
  <c r="N888" i="1"/>
  <c r="R888" i="1"/>
  <c r="S888" i="1"/>
  <c r="N889" i="1"/>
  <c r="R889" i="1"/>
  <c r="S889" i="1"/>
  <c r="N890" i="1"/>
  <c r="R890" i="1"/>
  <c r="S890" i="1"/>
  <c r="N891" i="1"/>
  <c r="R891" i="1"/>
  <c r="S891" i="1"/>
  <c r="N892" i="1"/>
  <c r="R892" i="1"/>
  <c r="S892" i="1"/>
  <c r="N893" i="1"/>
  <c r="R893" i="1"/>
  <c r="S893" i="1"/>
  <c r="N894" i="1"/>
  <c r="R894" i="1"/>
  <c r="S894" i="1"/>
  <c r="N895" i="1"/>
  <c r="R895" i="1"/>
  <c r="S895" i="1"/>
  <c r="N896" i="1"/>
  <c r="R896" i="1"/>
  <c r="S896" i="1"/>
  <c r="N897" i="1"/>
  <c r="R897" i="1"/>
  <c r="S897" i="1"/>
  <c r="N898" i="1"/>
  <c r="R898" i="1"/>
  <c r="S898" i="1"/>
  <c r="N899" i="1"/>
  <c r="R899" i="1"/>
  <c r="S899" i="1"/>
  <c r="N900" i="1"/>
  <c r="R900" i="1"/>
  <c r="S900" i="1"/>
  <c r="N901" i="1"/>
  <c r="R901" i="1"/>
  <c r="S901" i="1"/>
  <c r="N902" i="1"/>
  <c r="R902" i="1"/>
  <c r="S902" i="1"/>
  <c r="N903" i="1"/>
  <c r="R903" i="1"/>
  <c r="S903" i="1"/>
  <c r="N904" i="1"/>
  <c r="R904" i="1"/>
  <c r="S904" i="1"/>
  <c r="N905" i="1"/>
  <c r="R905" i="1"/>
  <c r="S905" i="1"/>
  <c r="N906" i="1"/>
  <c r="R906" i="1"/>
  <c r="S906" i="1"/>
  <c r="N907" i="1"/>
  <c r="R907" i="1"/>
  <c r="S907" i="1"/>
  <c r="N908" i="1"/>
  <c r="R908" i="1"/>
  <c r="S908" i="1"/>
  <c r="N909" i="1"/>
  <c r="R909" i="1"/>
  <c r="S909" i="1"/>
  <c r="N910" i="1"/>
  <c r="R910" i="1"/>
  <c r="S910" i="1"/>
  <c r="N911" i="1"/>
  <c r="R911" i="1"/>
  <c r="S911" i="1"/>
  <c r="N912" i="1"/>
  <c r="R912" i="1"/>
  <c r="S912" i="1"/>
  <c r="N913" i="1"/>
  <c r="R913" i="1"/>
  <c r="S913" i="1"/>
  <c r="N914" i="1"/>
  <c r="R914" i="1"/>
  <c r="S914" i="1"/>
  <c r="N915" i="1"/>
  <c r="R915" i="1"/>
  <c r="S915" i="1"/>
  <c r="N916" i="1"/>
  <c r="R916" i="1"/>
  <c r="S916" i="1"/>
  <c r="N917" i="1"/>
  <c r="R917" i="1"/>
  <c r="S917" i="1"/>
  <c r="N918" i="1"/>
  <c r="R918" i="1"/>
  <c r="S918" i="1"/>
  <c r="N919" i="1"/>
  <c r="R919" i="1"/>
  <c r="S919" i="1"/>
  <c r="N920" i="1"/>
  <c r="R920" i="1"/>
  <c r="S920" i="1"/>
  <c r="N921" i="1"/>
  <c r="R921" i="1"/>
  <c r="S921" i="1"/>
  <c r="N922" i="1"/>
  <c r="R922" i="1"/>
  <c r="S922" i="1"/>
  <c r="N923" i="1"/>
  <c r="R923" i="1"/>
  <c r="S923" i="1"/>
  <c r="N924" i="1"/>
  <c r="R924" i="1"/>
  <c r="S924" i="1"/>
  <c r="N925" i="1"/>
  <c r="R925" i="1"/>
  <c r="S925" i="1"/>
  <c r="N926" i="1"/>
  <c r="R926" i="1"/>
  <c r="S926" i="1"/>
  <c r="N927" i="1"/>
  <c r="R927" i="1"/>
  <c r="S927" i="1"/>
  <c r="N928" i="1"/>
  <c r="R928" i="1"/>
  <c r="S928" i="1"/>
  <c r="N929" i="1"/>
  <c r="R929" i="1"/>
  <c r="S929" i="1"/>
  <c r="N930" i="1"/>
  <c r="R930" i="1"/>
  <c r="S930" i="1"/>
  <c r="N931" i="1"/>
  <c r="R931" i="1"/>
  <c r="S931" i="1"/>
  <c r="N932" i="1"/>
  <c r="R932" i="1"/>
  <c r="S932" i="1"/>
  <c r="N933" i="1"/>
  <c r="R933" i="1"/>
  <c r="S933" i="1"/>
  <c r="N934" i="1"/>
  <c r="R934" i="1"/>
  <c r="S934" i="1"/>
  <c r="N935" i="1"/>
  <c r="R935" i="1"/>
  <c r="S935" i="1"/>
  <c r="N936" i="1"/>
  <c r="R936" i="1"/>
  <c r="S936" i="1"/>
  <c r="N937" i="1"/>
  <c r="R937" i="1"/>
  <c r="S937" i="1"/>
  <c r="N938" i="1"/>
  <c r="R938" i="1"/>
  <c r="S938" i="1"/>
  <c r="N939" i="1"/>
  <c r="R939" i="1"/>
  <c r="S939" i="1"/>
  <c r="N940" i="1"/>
  <c r="R940" i="1"/>
  <c r="S940" i="1"/>
  <c r="N941" i="1"/>
  <c r="R941" i="1"/>
  <c r="S941" i="1"/>
  <c r="N942" i="1"/>
  <c r="R942" i="1"/>
  <c r="S942" i="1"/>
  <c r="N943" i="1"/>
  <c r="R943" i="1"/>
  <c r="S943" i="1"/>
  <c r="N944" i="1"/>
  <c r="R944" i="1"/>
  <c r="S944" i="1"/>
  <c r="N945" i="1"/>
  <c r="R945" i="1"/>
  <c r="S945" i="1"/>
  <c r="N946" i="1"/>
  <c r="R946" i="1"/>
  <c r="S946" i="1"/>
  <c r="N947" i="1"/>
  <c r="R947" i="1"/>
  <c r="S947" i="1"/>
  <c r="N948" i="1"/>
  <c r="R948" i="1"/>
  <c r="S948" i="1"/>
  <c r="N949" i="1"/>
  <c r="R949" i="1"/>
  <c r="S949" i="1"/>
  <c r="N950" i="1"/>
  <c r="R950" i="1"/>
  <c r="S950" i="1"/>
  <c r="N951" i="1"/>
  <c r="R951" i="1"/>
  <c r="S951" i="1"/>
  <c r="N952" i="1"/>
  <c r="R952" i="1"/>
  <c r="S952" i="1"/>
  <c r="N953" i="1"/>
  <c r="R953" i="1"/>
  <c r="S953" i="1"/>
  <c r="N954" i="1"/>
  <c r="R954" i="1"/>
  <c r="S954" i="1"/>
  <c r="N955" i="1"/>
  <c r="R955" i="1"/>
  <c r="S955" i="1"/>
  <c r="N956" i="1"/>
  <c r="R956" i="1"/>
  <c r="S956" i="1"/>
  <c r="N957" i="1"/>
  <c r="R957" i="1"/>
  <c r="S957" i="1"/>
  <c r="N958" i="1"/>
  <c r="R958" i="1"/>
  <c r="S958" i="1"/>
  <c r="N959" i="1"/>
  <c r="R959" i="1"/>
  <c r="S959" i="1"/>
  <c r="N960" i="1"/>
  <c r="R960" i="1"/>
  <c r="S960" i="1"/>
  <c r="N961" i="1"/>
  <c r="R961" i="1"/>
  <c r="S961" i="1"/>
  <c r="N962" i="1"/>
  <c r="R962" i="1"/>
  <c r="S962" i="1"/>
  <c r="N963" i="1"/>
  <c r="R963" i="1"/>
  <c r="S963" i="1"/>
  <c r="N964" i="1"/>
  <c r="R964" i="1"/>
  <c r="S964" i="1"/>
  <c r="N965" i="1"/>
  <c r="R965" i="1"/>
  <c r="S965" i="1"/>
  <c r="N966" i="1"/>
  <c r="R966" i="1"/>
  <c r="S966" i="1"/>
  <c r="N967" i="1"/>
  <c r="R967" i="1"/>
  <c r="S967" i="1"/>
  <c r="N968" i="1"/>
  <c r="R968" i="1"/>
  <c r="S968" i="1"/>
  <c r="N969" i="1"/>
  <c r="R969" i="1"/>
  <c r="S969" i="1"/>
  <c r="N970" i="1"/>
  <c r="R970" i="1"/>
  <c r="S970" i="1"/>
  <c r="N971" i="1"/>
  <c r="R971" i="1"/>
  <c r="S971" i="1"/>
  <c r="N972" i="1"/>
  <c r="R972" i="1"/>
  <c r="S972" i="1"/>
  <c r="N973" i="1"/>
  <c r="R973" i="1"/>
  <c r="S973" i="1"/>
  <c r="N974" i="1"/>
  <c r="R974" i="1"/>
  <c r="S974" i="1"/>
  <c r="N975" i="1"/>
  <c r="R975" i="1"/>
  <c r="S975" i="1"/>
  <c r="N976" i="1"/>
  <c r="R976" i="1"/>
  <c r="S976" i="1"/>
  <c r="N977" i="1"/>
  <c r="R977" i="1"/>
  <c r="S977" i="1"/>
  <c r="N978" i="1"/>
  <c r="R978" i="1"/>
  <c r="S978" i="1"/>
  <c r="N979" i="1"/>
  <c r="R979" i="1"/>
  <c r="S979" i="1"/>
  <c r="N980" i="1"/>
  <c r="R980" i="1"/>
  <c r="S980" i="1"/>
  <c r="N981" i="1"/>
  <c r="R981" i="1"/>
  <c r="S981" i="1"/>
  <c r="N982" i="1"/>
  <c r="R982" i="1"/>
  <c r="S982" i="1"/>
  <c r="N983" i="1"/>
  <c r="R983" i="1"/>
  <c r="S983" i="1"/>
  <c r="N984" i="1"/>
  <c r="R984" i="1"/>
  <c r="S984" i="1"/>
  <c r="N985" i="1"/>
  <c r="R985" i="1"/>
  <c r="S985" i="1"/>
  <c r="N986" i="1"/>
  <c r="R986" i="1"/>
  <c r="S986" i="1"/>
  <c r="N987" i="1"/>
  <c r="R987" i="1"/>
  <c r="S987" i="1"/>
  <c r="N988" i="1"/>
  <c r="R988" i="1"/>
  <c r="S988" i="1"/>
  <c r="N989" i="1"/>
  <c r="R989" i="1"/>
  <c r="S989" i="1"/>
  <c r="N990" i="1"/>
  <c r="R990" i="1"/>
  <c r="S990" i="1"/>
  <c r="N991" i="1"/>
  <c r="R991" i="1"/>
  <c r="S991" i="1"/>
  <c r="N992" i="1"/>
  <c r="R992" i="1"/>
  <c r="S992" i="1"/>
  <c r="N993" i="1"/>
  <c r="R993" i="1"/>
  <c r="S993" i="1"/>
  <c r="N994" i="1"/>
  <c r="R994" i="1"/>
  <c r="S994" i="1"/>
  <c r="N995" i="1"/>
  <c r="R995" i="1"/>
  <c r="S995" i="1"/>
  <c r="N996" i="1"/>
  <c r="R996" i="1"/>
  <c r="S996" i="1"/>
  <c r="N997" i="1"/>
  <c r="R997" i="1"/>
  <c r="S997" i="1"/>
  <c r="N998" i="1"/>
  <c r="S998" i="1"/>
  <c r="N999" i="1"/>
  <c r="S999" i="1"/>
  <c r="N1000" i="1"/>
  <c r="S1000" i="1"/>
  <c r="N1001" i="1"/>
  <c r="S1001" i="1"/>
  <c r="N1002" i="1"/>
  <c r="S1002" i="1"/>
  <c r="N1003" i="1"/>
  <c r="S1003" i="1"/>
  <c r="N1004" i="1"/>
  <c r="S1004" i="1"/>
  <c r="N1005" i="1"/>
  <c r="S1005" i="1"/>
  <c r="N1006" i="1"/>
  <c r="S1006" i="1"/>
  <c r="N1007" i="1"/>
  <c r="S1007" i="1"/>
  <c r="N1008" i="1"/>
  <c r="S1008" i="1"/>
  <c r="N1009" i="1"/>
  <c r="S1009" i="1"/>
  <c r="N1010" i="1"/>
  <c r="S1010" i="1"/>
  <c r="N1011" i="1"/>
  <c r="S1011" i="1"/>
  <c r="N1012" i="1"/>
  <c r="S1012" i="1"/>
  <c r="N1013" i="1"/>
  <c r="S1013" i="1"/>
  <c r="N1014" i="1"/>
  <c r="S1014" i="1"/>
  <c r="N1015" i="1"/>
  <c r="S1015" i="1"/>
  <c r="N1016" i="1"/>
  <c r="S1016" i="1"/>
  <c r="N1017" i="1"/>
  <c r="S1017" i="1"/>
  <c r="N1018" i="1"/>
  <c r="S1018" i="1"/>
  <c r="N1019" i="1"/>
  <c r="S1019" i="1"/>
  <c r="N1020" i="1"/>
  <c r="S1020" i="1"/>
  <c r="N1021" i="1"/>
  <c r="R1021" i="1"/>
  <c r="S1021" i="1"/>
  <c r="N1022" i="1"/>
  <c r="R1022" i="1"/>
  <c r="S1022" i="1"/>
  <c r="N1023" i="1"/>
  <c r="R1023" i="1"/>
  <c r="S1023" i="1"/>
  <c r="N1024" i="1"/>
  <c r="R1024" i="1"/>
  <c r="S1024" i="1"/>
  <c r="N1025" i="1"/>
  <c r="S1025" i="1"/>
  <c r="N1026" i="1"/>
  <c r="R1026" i="1"/>
  <c r="S1026" i="1"/>
  <c r="N1027" i="1"/>
  <c r="R1027" i="1"/>
  <c r="S1027" i="1"/>
  <c r="N1028" i="1"/>
  <c r="R1028" i="1"/>
  <c r="S1028" i="1"/>
  <c r="N1029" i="1"/>
  <c r="R1029" i="1"/>
  <c r="S1029" i="1"/>
  <c r="N1030" i="1"/>
  <c r="R1030" i="1"/>
  <c r="S1030" i="1"/>
  <c r="N1031" i="1"/>
  <c r="S1031" i="1"/>
  <c r="N1032" i="1"/>
  <c r="R1032" i="1"/>
  <c r="S1032" i="1"/>
  <c r="N1033" i="1"/>
  <c r="R1033" i="1"/>
  <c r="S1033" i="1"/>
  <c r="N1034" i="1"/>
  <c r="R1034" i="1"/>
  <c r="S1034" i="1"/>
  <c r="N1035" i="1"/>
  <c r="R1035" i="1"/>
  <c r="S1035" i="1"/>
  <c r="N1036" i="1"/>
  <c r="R1036" i="1"/>
  <c r="S1036" i="1"/>
  <c r="N1037" i="1"/>
  <c r="R1037" i="1"/>
  <c r="S1037" i="1"/>
  <c r="N1038" i="1"/>
  <c r="R1038" i="1"/>
  <c r="S1038" i="1"/>
  <c r="N1039" i="1"/>
  <c r="R1039" i="1"/>
  <c r="S1039" i="1"/>
  <c r="N1040" i="1"/>
  <c r="R1040" i="1"/>
  <c r="S1040" i="1"/>
  <c r="N1041" i="1"/>
  <c r="R1041" i="1"/>
  <c r="S1041" i="1"/>
  <c r="N1042" i="1"/>
  <c r="R1042" i="1"/>
  <c r="S1042" i="1"/>
  <c r="N1043" i="1"/>
  <c r="R1043" i="1"/>
  <c r="S1043" i="1"/>
  <c r="N1044" i="1"/>
  <c r="R1044" i="1"/>
  <c r="S1044" i="1"/>
  <c r="N1045" i="1"/>
  <c r="R1045" i="1"/>
  <c r="S1045" i="1"/>
  <c r="N1046" i="1"/>
  <c r="R1046" i="1"/>
  <c r="S1046" i="1"/>
  <c r="N1047" i="1"/>
  <c r="R1047" i="1"/>
  <c r="S1047" i="1"/>
  <c r="N1048" i="1"/>
  <c r="R1048" i="1"/>
  <c r="S1048" i="1"/>
  <c r="N1049" i="1"/>
  <c r="R1049" i="1"/>
  <c r="S1049" i="1"/>
  <c r="N1050" i="1"/>
  <c r="R1050" i="1"/>
  <c r="S1050" i="1"/>
  <c r="N1051" i="1"/>
  <c r="R1051" i="1"/>
  <c r="S1051" i="1"/>
  <c r="N1052" i="1"/>
  <c r="R1052" i="1"/>
  <c r="S1052" i="1"/>
  <c r="N1053" i="1"/>
  <c r="R1053" i="1"/>
  <c r="S1053" i="1"/>
  <c r="N1054" i="1"/>
  <c r="R1054" i="1"/>
  <c r="S1054" i="1"/>
  <c r="N1055" i="1"/>
  <c r="R1055" i="1"/>
  <c r="S1055" i="1"/>
  <c r="N1056" i="1"/>
  <c r="R1056" i="1"/>
  <c r="S1056" i="1"/>
  <c r="N1057" i="1"/>
  <c r="R1057" i="1"/>
  <c r="S1057" i="1"/>
  <c r="N1058" i="1"/>
  <c r="R1058" i="1"/>
  <c r="S1058" i="1"/>
  <c r="N1059" i="1"/>
  <c r="S1059" i="1"/>
  <c r="N1060" i="1"/>
  <c r="R1060" i="1"/>
  <c r="S1060" i="1"/>
  <c r="N1061" i="1"/>
  <c r="R1061" i="1"/>
  <c r="S1061" i="1"/>
  <c r="N1062" i="1"/>
  <c r="R1062" i="1"/>
  <c r="S1062" i="1"/>
  <c r="N1063" i="1"/>
  <c r="R1063" i="1"/>
  <c r="S1063" i="1"/>
  <c r="N1064" i="1"/>
  <c r="R1064" i="1"/>
  <c r="S1064" i="1"/>
  <c r="N1065" i="1"/>
  <c r="R1065" i="1"/>
  <c r="S1065" i="1"/>
  <c r="N1066" i="1"/>
  <c r="R1066" i="1"/>
  <c r="S1066" i="1"/>
  <c r="N1067" i="1"/>
  <c r="R1067" i="1"/>
  <c r="S1067" i="1"/>
  <c r="N1068" i="1"/>
  <c r="R1068" i="1"/>
  <c r="S1068" i="1"/>
  <c r="N1069" i="1"/>
  <c r="R1069" i="1"/>
  <c r="S1069" i="1"/>
  <c r="N1070" i="1"/>
  <c r="R1070" i="1"/>
  <c r="S1070" i="1"/>
  <c r="N1071" i="1"/>
  <c r="R1071" i="1"/>
  <c r="S1071" i="1"/>
  <c r="N1072" i="1"/>
  <c r="R1072" i="1"/>
  <c r="S1072" i="1"/>
  <c r="N1073" i="1"/>
  <c r="R1073" i="1"/>
  <c r="S1073" i="1"/>
  <c r="N1074" i="1"/>
  <c r="R1074" i="1"/>
  <c r="S1074" i="1"/>
  <c r="N1075" i="1"/>
  <c r="R1075" i="1"/>
  <c r="S1075" i="1"/>
  <c r="N1076" i="1"/>
  <c r="R1076" i="1"/>
  <c r="S1076" i="1"/>
  <c r="N1077" i="1"/>
  <c r="R1077" i="1"/>
  <c r="S1077" i="1"/>
  <c r="N1078" i="1"/>
  <c r="R1078" i="1"/>
  <c r="S1078" i="1"/>
  <c r="N1079" i="1"/>
  <c r="R1079" i="1"/>
  <c r="S1079" i="1"/>
  <c r="N1080" i="1"/>
  <c r="S1080" i="1"/>
  <c r="N1081" i="1"/>
  <c r="S1081" i="1"/>
  <c r="N1082" i="1"/>
  <c r="R1082" i="1"/>
  <c r="S1082" i="1"/>
  <c r="N1083" i="1"/>
  <c r="R1083" i="1"/>
  <c r="S1083" i="1"/>
  <c r="N1084" i="1"/>
  <c r="R1084" i="1"/>
  <c r="S1084" i="1"/>
  <c r="N1085" i="1"/>
  <c r="R1085" i="1"/>
  <c r="S1085" i="1"/>
  <c r="N1086" i="1"/>
  <c r="R1086" i="1"/>
  <c r="S1086" i="1"/>
  <c r="N1087" i="1"/>
  <c r="R1087" i="1"/>
  <c r="S1087" i="1"/>
  <c r="N1088" i="1"/>
  <c r="R1088" i="1"/>
  <c r="S1088" i="1"/>
  <c r="N1089" i="1"/>
  <c r="R1089" i="1"/>
  <c r="S1089" i="1"/>
  <c r="N1090" i="1"/>
  <c r="R1090" i="1"/>
  <c r="S1090" i="1"/>
  <c r="N1091" i="1"/>
  <c r="R1091" i="1"/>
  <c r="S1091" i="1"/>
  <c r="N1092" i="1"/>
  <c r="R1092" i="1"/>
  <c r="S1092" i="1"/>
  <c r="N1093" i="1"/>
  <c r="R1093" i="1"/>
  <c r="S1093" i="1"/>
  <c r="N1094" i="1"/>
  <c r="R1094" i="1"/>
  <c r="S1094" i="1"/>
  <c r="N1095" i="1"/>
  <c r="R1095" i="1"/>
  <c r="S1095" i="1"/>
  <c r="N1096" i="1"/>
  <c r="R1096" i="1"/>
  <c r="S1096" i="1"/>
  <c r="N1097" i="1"/>
  <c r="R1097" i="1"/>
  <c r="S1097" i="1"/>
  <c r="N1098" i="1"/>
  <c r="R1098" i="1"/>
  <c r="S1098" i="1"/>
  <c r="N1099" i="1"/>
  <c r="R1099" i="1"/>
  <c r="S1099" i="1"/>
  <c r="N1100" i="1"/>
  <c r="R1100" i="1"/>
  <c r="S1100" i="1"/>
  <c r="N1101" i="1"/>
  <c r="R1101" i="1"/>
  <c r="S1101" i="1"/>
  <c r="N1102" i="1"/>
  <c r="R1102" i="1"/>
  <c r="S1102" i="1"/>
  <c r="N1103" i="1"/>
  <c r="R1103" i="1"/>
  <c r="S1103" i="1"/>
  <c r="N1104" i="1"/>
  <c r="R1104" i="1"/>
  <c r="S1104" i="1"/>
  <c r="N1105" i="1"/>
  <c r="R1105" i="1"/>
  <c r="S1105" i="1"/>
  <c r="N1106" i="1"/>
  <c r="R1106" i="1"/>
  <c r="S1106" i="1"/>
  <c r="N1107" i="1"/>
  <c r="R1107" i="1"/>
  <c r="S1107" i="1"/>
  <c r="N1108" i="1"/>
  <c r="R1108" i="1"/>
  <c r="S1108" i="1"/>
  <c r="N1109" i="1"/>
  <c r="S1109" i="1"/>
  <c r="N1110" i="1"/>
  <c r="R1110" i="1"/>
  <c r="S1110" i="1"/>
  <c r="N1111" i="1"/>
  <c r="R1111" i="1"/>
  <c r="S1111" i="1"/>
  <c r="N1112" i="1"/>
  <c r="R1112" i="1"/>
  <c r="S1112" i="1"/>
  <c r="N1113" i="1"/>
  <c r="R1113" i="1"/>
  <c r="S1113" i="1"/>
  <c r="N1114" i="1"/>
  <c r="R1114" i="1"/>
  <c r="S1114" i="1"/>
  <c r="N1115" i="1"/>
  <c r="R1115" i="1"/>
  <c r="S1115" i="1"/>
  <c r="N1116" i="1"/>
  <c r="R1116" i="1"/>
  <c r="S1116" i="1"/>
  <c r="N1117" i="1"/>
  <c r="R1117" i="1"/>
  <c r="S1117" i="1"/>
  <c r="N1118" i="1"/>
  <c r="R1118" i="1"/>
  <c r="S1118" i="1"/>
  <c r="N1119" i="1"/>
  <c r="R1119" i="1"/>
  <c r="S1119" i="1"/>
  <c r="N1120" i="1"/>
  <c r="R1120" i="1"/>
  <c r="S1120" i="1"/>
  <c r="N1121" i="1"/>
  <c r="R1121" i="1"/>
  <c r="S1121" i="1"/>
  <c r="N1122" i="1"/>
  <c r="R1122" i="1"/>
  <c r="S1122" i="1"/>
  <c r="N1123" i="1"/>
  <c r="R1123" i="1"/>
  <c r="S1123" i="1"/>
  <c r="N1124" i="1"/>
  <c r="R1124" i="1"/>
  <c r="S1124" i="1"/>
  <c r="N1125" i="1"/>
  <c r="R1125" i="1"/>
  <c r="S1125" i="1"/>
  <c r="N1126" i="1"/>
  <c r="R1126" i="1"/>
  <c r="S1126" i="1"/>
  <c r="N1127" i="1"/>
  <c r="R1127" i="1"/>
  <c r="S1127" i="1"/>
  <c r="N1128" i="1"/>
  <c r="N1129" i="1"/>
  <c r="N1130" i="1"/>
  <c r="R1130" i="1"/>
  <c r="S1130" i="1"/>
  <c r="N1131" i="1"/>
  <c r="R1131" i="1"/>
  <c r="S1131" i="1"/>
  <c r="N1132" i="1"/>
  <c r="R1132" i="1"/>
  <c r="S1132" i="1"/>
  <c r="N1133" i="1"/>
  <c r="R1133" i="1"/>
  <c r="S1133" i="1"/>
  <c r="N1134" i="1"/>
  <c r="R1134" i="1"/>
  <c r="S1134" i="1"/>
  <c r="N1135" i="1"/>
  <c r="R1135" i="1"/>
  <c r="S1135" i="1"/>
  <c r="N1136" i="1"/>
  <c r="S1136" i="1"/>
  <c r="N1137" i="1"/>
  <c r="S1137" i="1"/>
  <c r="N1138" i="1"/>
  <c r="S1138" i="1"/>
  <c r="N1139" i="1"/>
  <c r="S1139" i="1"/>
  <c r="N1140" i="1"/>
  <c r="S1140" i="1"/>
  <c r="N1141" i="1"/>
  <c r="S1141" i="1"/>
  <c r="N1142" i="1"/>
  <c r="S1142" i="1"/>
  <c r="N1143" i="1"/>
  <c r="S1143" i="1"/>
  <c r="N1144" i="1"/>
  <c r="S1144" i="1"/>
  <c r="N1145" i="1"/>
  <c r="S1145" i="1"/>
  <c r="N1146" i="1"/>
  <c r="S1146" i="1"/>
  <c r="N1147" i="1"/>
  <c r="S1147" i="1"/>
  <c r="N1148" i="1"/>
  <c r="S1148" i="1"/>
  <c r="N1149" i="1"/>
  <c r="S1149" i="1"/>
  <c r="N1150" i="1"/>
  <c r="S1150" i="1"/>
  <c r="N1151" i="1"/>
  <c r="S1151" i="1"/>
  <c r="N1152" i="1"/>
  <c r="S1152" i="1"/>
  <c r="N1153" i="1"/>
  <c r="S1153" i="1"/>
  <c r="N1154" i="1"/>
  <c r="S1154" i="1"/>
  <c r="N1155" i="1"/>
  <c r="S1155" i="1"/>
  <c r="N1156" i="1"/>
  <c r="S1156" i="1"/>
  <c r="N1157" i="1"/>
  <c r="S1157" i="1"/>
  <c r="N1158" i="1"/>
  <c r="S1158" i="1"/>
  <c r="N1159" i="1"/>
  <c r="S1159" i="1"/>
  <c r="N1160" i="1"/>
  <c r="S1160" i="1"/>
  <c r="N1161" i="1"/>
  <c r="S1161" i="1"/>
  <c r="N1162" i="1"/>
  <c r="S1162" i="1"/>
  <c r="N1163" i="1"/>
  <c r="S1163" i="1"/>
  <c r="N1164" i="1"/>
  <c r="S1164" i="1"/>
  <c r="N1165" i="1"/>
  <c r="S1165" i="1"/>
  <c r="N1166" i="1"/>
  <c r="S1166" i="1"/>
  <c r="N1167" i="1"/>
  <c r="S1167" i="1"/>
  <c r="N1168" i="1"/>
  <c r="S1168" i="1"/>
  <c r="N1169" i="1"/>
  <c r="S1169" i="1"/>
  <c r="N1170" i="1"/>
  <c r="S1170" i="1"/>
  <c r="N1171" i="1"/>
  <c r="S1171" i="1"/>
  <c r="N1172" i="1"/>
  <c r="S1172" i="1"/>
  <c r="N1173" i="1"/>
  <c r="S1173" i="1"/>
  <c r="N1174" i="1"/>
  <c r="S1174" i="1"/>
  <c r="N1175" i="1"/>
  <c r="S1175" i="1"/>
  <c r="N1176" i="1"/>
  <c r="S1176" i="1"/>
  <c r="N1177" i="1"/>
  <c r="S1177" i="1"/>
  <c r="N1178" i="1"/>
  <c r="S1178" i="1"/>
  <c r="N1179" i="1"/>
  <c r="R1179" i="1"/>
  <c r="S1179" i="1"/>
  <c r="N1180" i="1"/>
  <c r="R1180" i="1"/>
  <c r="S1180" i="1"/>
  <c r="N1181" i="1"/>
  <c r="S1181" i="1"/>
  <c r="N1182" i="1"/>
  <c r="R1182" i="1"/>
  <c r="S1182" i="1"/>
  <c r="N1183" i="1"/>
  <c r="R1183" i="1"/>
  <c r="S1183" i="1"/>
  <c r="N1184" i="1"/>
  <c r="R1184" i="1"/>
  <c r="S1184" i="1"/>
  <c r="N1185" i="1"/>
  <c r="R1185" i="1"/>
  <c r="S1185" i="1"/>
  <c r="N1186" i="1"/>
  <c r="R1186" i="1"/>
  <c r="S1186" i="1"/>
  <c r="N1187" i="1"/>
  <c r="R1187" i="1"/>
  <c r="S1187" i="1"/>
  <c r="N1188" i="1"/>
  <c r="R1188" i="1"/>
  <c r="S1188" i="1"/>
  <c r="N1189" i="1"/>
  <c r="R1189" i="1"/>
  <c r="S1189" i="1"/>
  <c r="N1190" i="1"/>
  <c r="R1190" i="1"/>
  <c r="S1190" i="1"/>
  <c r="N1191" i="1"/>
  <c r="R1191" i="1"/>
  <c r="S1191" i="1"/>
  <c r="N1192" i="1"/>
  <c r="R1192" i="1"/>
  <c r="S1192" i="1"/>
  <c r="N1193" i="1"/>
  <c r="R1193" i="1"/>
  <c r="S1193" i="1"/>
  <c r="N1194" i="1"/>
  <c r="R1194" i="1"/>
  <c r="S1194" i="1"/>
  <c r="N1195" i="1"/>
  <c r="S1195" i="1"/>
  <c r="N1196" i="1"/>
  <c r="R1196" i="1"/>
  <c r="S1196" i="1"/>
  <c r="N1197" i="1"/>
  <c r="R1197" i="1"/>
  <c r="S1197" i="1"/>
  <c r="N1198" i="1"/>
  <c r="R1198" i="1"/>
  <c r="S1198" i="1"/>
  <c r="N1199" i="1"/>
  <c r="R1199" i="1"/>
  <c r="S1199" i="1"/>
  <c r="N1200" i="1"/>
  <c r="R1200" i="1"/>
  <c r="S1200" i="1"/>
  <c r="N1201" i="1"/>
  <c r="R1201" i="1"/>
  <c r="S1201" i="1"/>
  <c r="N1202" i="1"/>
  <c r="R1202" i="1"/>
  <c r="S1202" i="1"/>
  <c r="N1203" i="1"/>
  <c r="R1203" i="1"/>
  <c r="S1203" i="1"/>
  <c r="N1204" i="1"/>
  <c r="R1204" i="1"/>
  <c r="S1204" i="1"/>
  <c r="N1205" i="1"/>
  <c r="R1205" i="1"/>
  <c r="S1205" i="1"/>
  <c r="N1206" i="1"/>
  <c r="R1206" i="1"/>
  <c r="S1206" i="1"/>
  <c r="N1207" i="1"/>
  <c r="R1207" i="1"/>
  <c r="S1207" i="1"/>
  <c r="N1208" i="1"/>
  <c r="R1208" i="1"/>
  <c r="S1208" i="1"/>
  <c r="N1209" i="1"/>
  <c r="R1209" i="1"/>
  <c r="S1209" i="1"/>
  <c r="N1210" i="1"/>
  <c r="R1210" i="1"/>
  <c r="S1210" i="1"/>
  <c r="N1211" i="1"/>
  <c r="S1211" i="1"/>
  <c r="N1212" i="1"/>
  <c r="S1212" i="1"/>
  <c r="N1213" i="1"/>
  <c r="S1213" i="1"/>
  <c r="N1214" i="1"/>
  <c r="S1214" i="1"/>
  <c r="N1215" i="1"/>
  <c r="S1215" i="1"/>
  <c r="N1216" i="1"/>
  <c r="S1216" i="1"/>
  <c r="N1217" i="1"/>
  <c r="S1217" i="1"/>
  <c r="N1218" i="1"/>
  <c r="S1218" i="1"/>
  <c r="N1219" i="1"/>
  <c r="S1219" i="1"/>
  <c r="N1220" i="1"/>
  <c r="S1220" i="1"/>
  <c r="N1221" i="1"/>
  <c r="S1221" i="1"/>
  <c r="N1222" i="1"/>
  <c r="S1222" i="1"/>
  <c r="N1223" i="1"/>
  <c r="S1223" i="1"/>
  <c r="N1224" i="1"/>
  <c r="S1224" i="1"/>
  <c r="N1225" i="1"/>
  <c r="S1225" i="1"/>
  <c r="N1226" i="1"/>
  <c r="S1226" i="1"/>
  <c r="N1227" i="1"/>
  <c r="S1227" i="1"/>
  <c r="N1228" i="1"/>
  <c r="S1228" i="1"/>
  <c r="N1229" i="1"/>
  <c r="S1229" i="1"/>
  <c r="N1230" i="1"/>
  <c r="S1230" i="1"/>
  <c r="N1231" i="1"/>
  <c r="S1231" i="1"/>
  <c r="N1232" i="1"/>
  <c r="S1232" i="1"/>
  <c r="N1233" i="1"/>
  <c r="S1233" i="1"/>
  <c r="N1234" i="1"/>
  <c r="S1234" i="1"/>
  <c r="N1235" i="1"/>
  <c r="S1235" i="1"/>
  <c r="N1236" i="1"/>
  <c r="S1236" i="1"/>
  <c r="N1237" i="1"/>
  <c r="S1237" i="1"/>
  <c r="N1238" i="1"/>
  <c r="S1238" i="1"/>
  <c r="N1239" i="1"/>
  <c r="N1240" i="1"/>
  <c r="S1240" i="1"/>
  <c r="N1241" i="1"/>
  <c r="S1241" i="1"/>
  <c r="N1242" i="1"/>
  <c r="S1242" i="1"/>
  <c r="N1243" i="1"/>
  <c r="S1243" i="1"/>
  <c r="N1244" i="1"/>
  <c r="S1244" i="1"/>
  <c r="N1245" i="1"/>
  <c r="S1245" i="1"/>
  <c r="N1246" i="1"/>
  <c r="S1246" i="1"/>
  <c r="N1247" i="1"/>
  <c r="S1247" i="1"/>
  <c r="N1248" i="1"/>
  <c r="S1248" i="1"/>
  <c r="N1249" i="1"/>
  <c r="S1249" i="1"/>
  <c r="N1250" i="1"/>
  <c r="S1250" i="1"/>
  <c r="N1251" i="1"/>
  <c r="S1251" i="1"/>
  <c r="N1252" i="1"/>
  <c r="S1252" i="1"/>
  <c r="N1253" i="1"/>
  <c r="S1253" i="1"/>
  <c r="N1254" i="1"/>
  <c r="S1254" i="1"/>
  <c r="N1255" i="1"/>
  <c r="S1255" i="1"/>
  <c r="N1256" i="1"/>
  <c r="S1256" i="1"/>
  <c r="N1257" i="1"/>
  <c r="S1257" i="1"/>
  <c r="N1258" i="1"/>
  <c r="S1258" i="1"/>
  <c r="N1259" i="1"/>
  <c r="S1259" i="1"/>
  <c r="N1260" i="1"/>
  <c r="S1260" i="1"/>
  <c r="N1261" i="1"/>
  <c r="S1261" i="1"/>
  <c r="N1262" i="1"/>
  <c r="S1262" i="1"/>
  <c r="N1263" i="1"/>
  <c r="S1263" i="1"/>
  <c r="N1264" i="1"/>
  <c r="S1264" i="1"/>
  <c r="N1265" i="1"/>
  <c r="R1265" i="1"/>
  <c r="S1265" i="1"/>
  <c r="N1266" i="1"/>
  <c r="S1266" i="1"/>
  <c r="N1267" i="1"/>
  <c r="R1267" i="1"/>
  <c r="S1267" i="1"/>
  <c r="N1268" i="1"/>
  <c r="R1268" i="1"/>
  <c r="S1268" i="1"/>
  <c r="N1269" i="1"/>
  <c r="R1269" i="1"/>
  <c r="S1269" i="1"/>
  <c r="N1270" i="1"/>
  <c r="S1270" i="1"/>
  <c r="N1271" i="1"/>
  <c r="S1271" i="1"/>
  <c r="N1272" i="1"/>
  <c r="S1272" i="1"/>
  <c r="N1273" i="1"/>
  <c r="R1273" i="1"/>
  <c r="S1273" i="1"/>
  <c r="N1274" i="1"/>
  <c r="R1274" i="1"/>
  <c r="S1274" i="1"/>
  <c r="N1275" i="1"/>
  <c r="S1275" i="1"/>
  <c r="N1276" i="1"/>
  <c r="S1276" i="1"/>
  <c r="N1277" i="1"/>
  <c r="S1277" i="1"/>
  <c r="N1278" i="1"/>
  <c r="S1278" i="1"/>
  <c r="N1279" i="1"/>
  <c r="S1279" i="1"/>
  <c r="N1280" i="1"/>
  <c r="S1280" i="1"/>
  <c r="N1281" i="1"/>
  <c r="S1281" i="1"/>
  <c r="N1282" i="1"/>
  <c r="S1282" i="1"/>
  <c r="N1283" i="1"/>
  <c r="S1283" i="1"/>
  <c r="N1284" i="1"/>
  <c r="S1284" i="1"/>
  <c r="N1285" i="1"/>
  <c r="S1285" i="1"/>
  <c r="N1286" i="1"/>
  <c r="S1286" i="1"/>
  <c r="N1287" i="1"/>
  <c r="S1287" i="1"/>
  <c r="N1288" i="1"/>
  <c r="S1288" i="1"/>
  <c r="N1289" i="1"/>
  <c r="S1289" i="1"/>
  <c r="N1290" i="1"/>
  <c r="R1290" i="1"/>
  <c r="S1290" i="1"/>
  <c r="N1291" i="1"/>
  <c r="R1291" i="1"/>
  <c r="S1291" i="1"/>
  <c r="N1292" i="1"/>
  <c r="R1292" i="1"/>
  <c r="S1292" i="1"/>
  <c r="N1293" i="1"/>
  <c r="R1293" i="1"/>
  <c r="S1293" i="1"/>
  <c r="N1294" i="1"/>
  <c r="R1294" i="1"/>
  <c r="S1294" i="1"/>
  <c r="N1295" i="1"/>
  <c r="R1295" i="1"/>
  <c r="S1295" i="1"/>
  <c r="N1296" i="1"/>
  <c r="R1296" i="1"/>
  <c r="S1296" i="1"/>
  <c r="N1297" i="1"/>
  <c r="S1297" i="1"/>
  <c r="N1298" i="1"/>
  <c r="R1298" i="1"/>
  <c r="S1298" i="1"/>
  <c r="N1299" i="1"/>
  <c r="S1299" i="1"/>
  <c r="N1300" i="1"/>
  <c r="R1300" i="1"/>
  <c r="S1300" i="1"/>
  <c r="N1301" i="1"/>
  <c r="R1301" i="1"/>
  <c r="S1301" i="1"/>
  <c r="N1302" i="1"/>
  <c r="R1302" i="1"/>
  <c r="S1302" i="1"/>
  <c r="N1303" i="1"/>
  <c r="R1303" i="1"/>
  <c r="S1303" i="1"/>
  <c r="N1304" i="1"/>
  <c r="R1304" i="1"/>
  <c r="S1304" i="1"/>
  <c r="N1305" i="1"/>
  <c r="R1305" i="1"/>
  <c r="S1305" i="1"/>
  <c r="N1306" i="1"/>
  <c r="R1306" i="1"/>
  <c r="S1306" i="1"/>
  <c r="N1307" i="1"/>
  <c r="R1307" i="1"/>
  <c r="S1307" i="1"/>
  <c r="N1308" i="1"/>
  <c r="R1308" i="1"/>
  <c r="S1308" i="1"/>
  <c r="N1309" i="1"/>
  <c r="R1309" i="1"/>
  <c r="S1309" i="1"/>
  <c r="N1310" i="1"/>
  <c r="R1310" i="1"/>
  <c r="S1310" i="1"/>
  <c r="N1311" i="1"/>
  <c r="R1311" i="1"/>
  <c r="S1311" i="1"/>
  <c r="N1312" i="1"/>
  <c r="R1312" i="1"/>
  <c r="S1312" i="1"/>
  <c r="N1313" i="1"/>
  <c r="R1313" i="1"/>
  <c r="S1313" i="1"/>
  <c r="N1314" i="1"/>
  <c r="R1314" i="1"/>
  <c r="S1314" i="1"/>
  <c r="N1315" i="1"/>
  <c r="R1315" i="1"/>
  <c r="S1315" i="1"/>
  <c r="N1316" i="1"/>
  <c r="R1316" i="1"/>
  <c r="S1316" i="1"/>
  <c r="N1317" i="1"/>
  <c r="R1317" i="1"/>
  <c r="S1317" i="1"/>
  <c r="N1318" i="1"/>
  <c r="R1318" i="1"/>
  <c r="S1318" i="1"/>
  <c r="N1319" i="1"/>
  <c r="R1319" i="1"/>
  <c r="S1319" i="1"/>
  <c r="N1320" i="1"/>
  <c r="R1320" i="1"/>
  <c r="S1320" i="1"/>
  <c r="N1321" i="1"/>
  <c r="R1321" i="1"/>
  <c r="S1321" i="1"/>
  <c r="N1322" i="1"/>
  <c r="R1322" i="1"/>
  <c r="S1322" i="1"/>
  <c r="N1323" i="1"/>
  <c r="R1323" i="1"/>
  <c r="S1323" i="1"/>
  <c r="N1324" i="1"/>
  <c r="R1324" i="1"/>
  <c r="S1324" i="1"/>
  <c r="N1325" i="1"/>
  <c r="R1325" i="1"/>
  <c r="S1325" i="1"/>
  <c r="N1326" i="1"/>
  <c r="R1326" i="1"/>
  <c r="S1326" i="1"/>
  <c r="N1327" i="1"/>
  <c r="R1327" i="1"/>
  <c r="S1327" i="1"/>
  <c r="N1328" i="1"/>
  <c r="R1328" i="1"/>
  <c r="S1328" i="1"/>
  <c r="N1329" i="1"/>
  <c r="R1329" i="1"/>
  <c r="S1329" i="1"/>
  <c r="N1330" i="1"/>
  <c r="R1330" i="1"/>
  <c r="S1330" i="1"/>
  <c r="N1331" i="1"/>
  <c r="R1331" i="1"/>
  <c r="S1331" i="1"/>
  <c r="N1332" i="1"/>
  <c r="R1332" i="1"/>
  <c r="S1332" i="1"/>
  <c r="N1333" i="1"/>
  <c r="R1333" i="1"/>
  <c r="S1333" i="1"/>
  <c r="N1334" i="1"/>
  <c r="R1334" i="1"/>
  <c r="S1334" i="1"/>
  <c r="N1335" i="1"/>
  <c r="R1335" i="1"/>
  <c r="S1335" i="1"/>
  <c r="N1336" i="1"/>
  <c r="R1336" i="1"/>
  <c r="S1336" i="1"/>
  <c r="N1337" i="1"/>
  <c r="R1337" i="1"/>
  <c r="S1337" i="1"/>
  <c r="N1338" i="1"/>
  <c r="R1338" i="1"/>
  <c r="S1338" i="1"/>
  <c r="N1339" i="1"/>
  <c r="R1339" i="1"/>
  <c r="S1339" i="1"/>
  <c r="N1340" i="1"/>
  <c r="R1340" i="1"/>
  <c r="S1340" i="1"/>
  <c r="N1341" i="1"/>
  <c r="R1341" i="1"/>
  <c r="S1341" i="1"/>
  <c r="N1342" i="1"/>
  <c r="R1342" i="1"/>
  <c r="S1342" i="1"/>
  <c r="N1343" i="1"/>
  <c r="R1343" i="1"/>
  <c r="S1343" i="1"/>
  <c r="N1344" i="1"/>
  <c r="R1344" i="1"/>
  <c r="S1344" i="1"/>
  <c r="N1345" i="1"/>
  <c r="R1345" i="1"/>
  <c r="S1345" i="1"/>
  <c r="N1346" i="1"/>
  <c r="R1346" i="1"/>
  <c r="S1346" i="1"/>
  <c r="N1347" i="1"/>
  <c r="R1347" i="1"/>
  <c r="S1347" i="1"/>
  <c r="N1348" i="1"/>
  <c r="R1348" i="1"/>
  <c r="S1348" i="1"/>
  <c r="N1349" i="1"/>
  <c r="R1349" i="1"/>
  <c r="S1349" i="1"/>
  <c r="N1350" i="1"/>
  <c r="R1350" i="1"/>
  <c r="S1350" i="1"/>
  <c r="N1351" i="1"/>
  <c r="R1351" i="1"/>
  <c r="S1351" i="1"/>
  <c r="N1352" i="1"/>
  <c r="R1352" i="1"/>
  <c r="S1352" i="1"/>
  <c r="N1353" i="1"/>
  <c r="R1353" i="1"/>
  <c r="S1353" i="1"/>
  <c r="N1354" i="1"/>
  <c r="R1354" i="1"/>
  <c r="S1354" i="1"/>
  <c r="N1355" i="1"/>
  <c r="R1355" i="1"/>
  <c r="S1355" i="1"/>
  <c r="N1356" i="1"/>
  <c r="R1356" i="1"/>
  <c r="S1356" i="1"/>
  <c r="N1357" i="1"/>
  <c r="R1357" i="1"/>
  <c r="S1357" i="1"/>
  <c r="N1358" i="1"/>
  <c r="R1358" i="1"/>
  <c r="S1358" i="1"/>
  <c r="N1359" i="1"/>
  <c r="R1359" i="1"/>
  <c r="S1359" i="1"/>
  <c r="N1360" i="1"/>
  <c r="R1360" i="1"/>
  <c r="S1360" i="1"/>
  <c r="N1361" i="1"/>
  <c r="R1361" i="1"/>
  <c r="S1361" i="1"/>
  <c r="N1362" i="1"/>
  <c r="R1362" i="1"/>
  <c r="S1362" i="1"/>
  <c r="N1363" i="1"/>
  <c r="R1363" i="1"/>
  <c r="S1363" i="1"/>
  <c r="N1364" i="1"/>
  <c r="R1364" i="1"/>
  <c r="S1364" i="1"/>
  <c r="N1365" i="1"/>
  <c r="R1365" i="1"/>
  <c r="S1365" i="1"/>
  <c r="N1366" i="1"/>
  <c r="R1366" i="1"/>
  <c r="S1366" i="1"/>
  <c r="N1367" i="1"/>
  <c r="R1367" i="1"/>
  <c r="S1367" i="1"/>
  <c r="N1368" i="1"/>
  <c r="R1368" i="1"/>
  <c r="S1368" i="1"/>
  <c r="N1369" i="1"/>
  <c r="R1369" i="1"/>
  <c r="S1369" i="1"/>
  <c r="N1370" i="1"/>
  <c r="R1370" i="1"/>
  <c r="S1370" i="1"/>
  <c r="N1371" i="1"/>
  <c r="S1371" i="1"/>
  <c r="N1372" i="1"/>
  <c r="S1372" i="1"/>
  <c r="N1373" i="1"/>
  <c r="S1373" i="1"/>
  <c r="N1374" i="1"/>
  <c r="R1374" i="1"/>
  <c r="S1374" i="1"/>
  <c r="N1375" i="1"/>
  <c r="R1375" i="1"/>
  <c r="S1375" i="1"/>
  <c r="N1376" i="1"/>
  <c r="S1376" i="1"/>
  <c r="N1377" i="1"/>
  <c r="S1377" i="1"/>
  <c r="N1378" i="1"/>
  <c r="R1378" i="1"/>
  <c r="S1378" i="1"/>
  <c r="N1379" i="1"/>
  <c r="S1379" i="1"/>
  <c r="N1380" i="1"/>
  <c r="R1380" i="1"/>
  <c r="S1380" i="1"/>
  <c r="N1381" i="1"/>
  <c r="R1381" i="1"/>
  <c r="S1381" i="1"/>
  <c r="N1382" i="1"/>
  <c r="R1382" i="1"/>
  <c r="S1382" i="1"/>
  <c r="N1383" i="1"/>
  <c r="R1383" i="1"/>
  <c r="S1383" i="1"/>
  <c r="N1384" i="1"/>
  <c r="R1384" i="1"/>
  <c r="S1384" i="1"/>
  <c r="N1385" i="1"/>
  <c r="R1385" i="1"/>
  <c r="S1385" i="1"/>
  <c r="N1386" i="1"/>
  <c r="R1386" i="1"/>
  <c r="S1386" i="1"/>
  <c r="N1387" i="1"/>
  <c r="R1387" i="1"/>
  <c r="S1387" i="1"/>
  <c r="N1388" i="1"/>
  <c r="R1388" i="1"/>
  <c r="S1388" i="1"/>
  <c r="N1389" i="1"/>
  <c r="S1389" i="1"/>
  <c r="N1390" i="1"/>
  <c r="R1390" i="1"/>
  <c r="S1390" i="1"/>
  <c r="N1391" i="1"/>
  <c r="R1391" i="1"/>
  <c r="S1391" i="1"/>
  <c r="N1392" i="1"/>
  <c r="R1392" i="1"/>
  <c r="S1392" i="1"/>
  <c r="N1393" i="1"/>
  <c r="R1393" i="1"/>
  <c r="S1393" i="1"/>
  <c r="N1394" i="1"/>
  <c r="R1394" i="1"/>
  <c r="S1394" i="1"/>
  <c r="N1395" i="1"/>
  <c r="R1395" i="1"/>
  <c r="S1395" i="1"/>
  <c r="N1396" i="1"/>
  <c r="R1396" i="1"/>
  <c r="S1396" i="1"/>
  <c r="N1397" i="1"/>
  <c r="R1397" i="1"/>
  <c r="S1397" i="1"/>
  <c r="N1398" i="1"/>
  <c r="R1398" i="1"/>
  <c r="S1398" i="1"/>
  <c r="N1399" i="1"/>
  <c r="S1399" i="1"/>
  <c r="N1400" i="1"/>
  <c r="S1400" i="1"/>
  <c r="N1401" i="1"/>
  <c r="R1401" i="1"/>
  <c r="S1401" i="1"/>
  <c r="N1402" i="1"/>
  <c r="R1402" i="1"/>
  <c r="S1402" i="1"/>
  <c r="N1403" i="1"/>
  <c r="R1403" i="1"/>
  <c r="S1403" i="1"/>
  <c r="N1404" i="1"/>
  <c r="R1404" i="1"/>
  <c r="S1404" i="1"/>
  <c r="N1405" i="1"/>
  <c r="R1405" i="1"/>
  <c r="S1405" i="1"/>
  <c r="N1406" i="1"/>
  <c r="R1406" i="1"/>
  <c r="S1406" i="1"/>
  <c r="N1407" i="1"/>
  <c r="R1407" i="1"/>
  <c r="S1407" i="1"/>
  <c r="N1408" i="1"/>
  <c r="R1408" i="1"/>
  <c r="S1408" i="1"/>
  <c r="N1409" i="1"/>
  <c r="N1410" i="1"/>
  <c r="R1410" i="1"/>
  <c r="S1410" i="1"/>
  <c r="N1411" i="1"/>
  <c r="R1411" i="1"/>
  <c r="S1411" i="1"/>
  <c r="N1412" i="1"/>
  <c r="R1412" i="1"/>
  <c r="S1412" i="1"/>
  <c r="N1413" i="1"/>
  <c r="R1413" i="1"/>
  <c r="S1413" i="1"/>
  <c r="N1414" i="1"/>
  <c r="R1414" i="1"/>
  <c r="S1414" i="1"/>
  <c r="N1415" i="1"/>
  <c r="R1415" i="1"/>
  <c r="S1415" i="1"/>
  <c r="N1416" i="1"/>
  <c r="R1416" i="1"/>
  <c r="S1416" i="1"/>
  <c r="N1417" i="1"/>
  <c r="R1417" i="1"/>
  <c r="S1417" i="1"/>
  <c r="N1418" i="1"/>
  <c r="R1418" i="1"/>
  <c r="S1418" i="1"/>
  <c r="N1419" i="1"/>
  <c r="R1419" i="1"/>
  <c r="S1419" i="1"/>
  <c r="N1420" i="1"/>
  <c r="R1420" i="1"/>
  <c r="S1420" i="1"/>
  <c r="N1421" i="1"/>
  <c r="R1421" i="1"/>
  <c r="S1421" i="1"/>
  <c r="N1422" i="1"/>
  <c r="R1422" i="1"/>
  <c r="S1422" i="1"/>
  <c r="N1423" i="1"/>
  <c r="R1423" i="1"/>
  <c r="S1423" i="1"/>
  <c r="N1424" i="1"/>
  <c r="R1424" i="1"/>
  <c r="S1424" i="1"/>
  <c r="N1425" i="1"/>
  <c r="R1425" i="1"/>
  <c r="S1425" i="1"/>
  <c r="N1426" i="1"/>
  <c r="R1426" i="1"/>
  <c r="S1426" i="1"/>
  <c r="N1427" i="1"/>
  <c r="R1427" i="1"/>
  <c r="S1427" i="1"/>
  <c r="N1428" i="1"/>
  <c r="R1428" i="1"/>
  <c r="S1428" i="1"/>
  <c r="N1429" i="1"/>
  <c r="R1429" i="1"/>
  <c r="S1429" i="1"/>
  <c r="N1430" i="1"/>
  <c r="R1430" i="1"/>
  <c r="S1430" i="1"/>
  <c r="N1431" i="1"/>
  <c r="R1431" i="1"/>
  <c r="S1431" i="1"/>
  <c r="N1432" i="1"/>
  <c r="R1432" i="1"/>
  <c r="S1432" i="1"/>
  <c r="N1433" i="1"/>
  <c r="R1433" i="1"/>
  <c r="S1433" i="1"/>
  <c r="N1434" i="1"/>
  <c r="R1434" i="1"/>
  <c r="S1434" i="1"/>
  <c r="N1435" i="1"/>
  <c r="R1435" i="1"/>
  <c r="S1435" i="1"/>
  <c r="N1436" i="1"/>
  <c r="R1436" i="1"/>
  <c r="S1436" i="1"/>
  <c r="N1437" i="1"/>
  <c r="R1437" i="1"/>
  <c r="S1437" i="1"/>
  <c r="N1438" i="1"/>
  <c r="R1438" i="1"/>
  <c r="S1438" i="1"/>
  <c r="N1439" i="1"/>
  <c r="R1439" i="1"/>
  <c r="S1439" i="1"/>
  <c r="N1440" i="1"/>
  <c r="R1440" i="1"/>
  <c r="S1440" i="1"/>
  <c r="N1441" i="1"/>
  <c r="R1441" i="1"/>
  <c r="S1441" i="1"/>
  <c r="N1442" i="1"/>
  <c r="R1442" i="1"/>
  <c r="S1442" i="1"/>
  <c r="N1443" i="1"/>
  <c r="R1443" i="1"/>
  <c r="S1443" i="1"/>
  <c r="N1444" i="1"/>
  <c r="R1444" i="1"/>
  <c r="S1444" i="1"/>
  <c r="N1445" i="1"/>
  <c r="R1445" i="1"/>
  <c r="S1445" i="1"/>
  <c r="N1446" i="1"/>
  <c r="R1446" i="1"/>
  <c r="S1446" i="1"/>
  <c r="N1447" i="1"/>
  <c r="R1447" i="1"/>
  <c r="S1447" i="1"/>
  <c r="N1448" i="1"/>
  <c r="R1448" i="1"/>
  <c r="S1448" i="1"/>
  <c r="N1449" i="1"/>
  <c r="R1449" i="1"/>
  <c r="S1449" i="1"/>
  <c r="N1450" i="1"/>
  <c r="R1450" i="1"/>
  <c r="S1450" i="1"/>
  <c r="N1451" i="1"/>
  <c r="R1451" i="1"/>
  <c r="S1451" i="1"/>
  <c r="N1452" i="1"/>
  <c r="R1452" i="1"/>
  <c r="S1452" i="1"/>
  <c r="N1453" i="1"/>
  <c r="R1453" i="1"/>
  <c r="S1453" i="1"/>
  <c r="N1454" i="1"/>
  <c r="R1454" i="1"/>
  <c r="S1454" i="1"/>
  <c r="N1455" i="1"/>
  <c r="R1455" i="1"/>
  <c r="S1455" i="1"/>
  <c r="N1456" i="1"/>
  <c r="R1456" i="1"/>
  <c r="S1456" i="1"/>
  <c r="N1457" i="1"/>
  <c r="R1457" i="1"/>
  <c r="S1457" i="1"/>
  <c r="N1458" i="1"/>
  <c r="R1458" i="1"/>
  <c r="S1458" i="1"/>
  <c r="N1459" i="1"/>
  <c r="R1459" i="1"/>
  <c r="S1459" i="1"/>
  <c r="N1460" i="1"/>
  <c r="R1460" i="1"/>
  <c r="S1460" i="1"/>
  <c r="N1461" i="1"/>
  <c r="R1461" i="1"/>
  <c r="S1461" i="1"/>
  <c r="N1462" i="1"/>
  <c r="R1462" i="1"/>
  <c r="S1462" i="1"/>
  <c r="N1463" i="1"/>
  <c r="R1463" i="1"/>
  <c r="S1463" i="1"/>
  <c r="N1464" i="1"/>
  <c r="R1464" i="1"/>
  <c r="S1464" i="1"/>
  <c r="N1465" i="1"/>
  <c r="R1465" i="1"/>
  <c r="S1465" i="1"/>
  <c r="N1466" i="1"/>
  <c r="R1466" i="1"/>
  <c r="S1466" i="1"/>
  <c r="N1467" i="1"/>
  <c r="R1467" i="1"/>
  <c r="S1467" i="1"/>
  <c r="N1468" i="1"/>
  <c r="R1468" i="1"/>
  <c r="S1468" i="1"/>
  <c r="N1469" i="1"/>
  <c r="R1469" i="1"/>
  <c r="S1469" i="1"/>
  <c r="N1470" i="1"/>
  <c r="R1470" i="1"/>
  <c r="S1470" i="1"/>
  <c r="N1471" i="1"/>
  <c r="R1471" i="1"/>
  <c r="S1471" i="1"/>
  <c r="N1472" i="1"/>
  <c r="R1472" i="1"/>
  <c r="S1472" i="1"/>
  <c r="N1473" i="1"/>
  <c r="R1473" i="1"/>
  <c r="S1473" i="1"/>
  <c r="N1474" i="1"/>
  <c r="R1474" i="1"/>
  <c r="S1474" i="1"/>
  <c r="N1475" i="1"/>
  <c r="R1475" i="1"/>
  <c r="S1475" i="1"/>
  <c r="N1476" i="1"/>
  <c r="R1476" i="1"/>
  <c r="S1476" i="1"/>
  <c r="N1477" i="1"/>
  <c r="R1477" i="1"/>
  <c r="S1477" i="1"/>
  <c r="N1478" i="1"/>
  <c r="R1478" i="1"/>
  <c r="S1478" i="1"/>
  <c r="N1479" i="1"/>
  <c r="R1479" i="1"/>
  <c r="S1479" i="1"/>
  <c r="N1480" i="1"/>
  <c r="R1480" i="1"/>
  <c r="S1480" i="1"/>
  <c r="N1481" i="1"/>
  <c r="R1481" i="1"/>
  <c r="S1481" i="1"/>
  <c r="N1482" i="1"/>
  <c r="R1482" i="1"/>
  <c r="S1482" i="1"/>
  <c r="N1483" i="1"/>
  <c r="R1483" i="1"/>
  <c r="S1483" i="1"/>
  <c r="N1484" i="1"/>
  <c r="R1484" i="1"/>
  <c r="S1484" i="1"/>
  <c r="N1485" i="1"/>
  <c r="R1485" i="1"/>
  <c r="S1485" i="1"/>
  <c r="N1486" i="1"/>
  <c r="R1486" i="1"/>
  <c r="S1486" i="1"/>
  <c r="N1487" i="1"/>
  <c r="R1487" i="1"/>
  <c r="S1487" i="1"/>
  <c r="N1488" i="1"/>
  <c r="R1488" i="1"/>
  <c r="S1488" i="1"/>
  <c r="N1489" i="1"/>
  <c r="R1489" i="1"/>
  <c r="S1489" i="1"/>
  <c r="N1490" i="1"/>
  <c r="R1490" i="1"/>
  <c r="S1490" i="1"/>
  <c r="N1491" i="1"/>
  <c r="R1491" i="1"/>
  <c r="S1491" i="1"/>
  <c r="N1492" i="1"/>
  <c r="S1492" i="1"/>
  <c r="N1493" i="1"/>
  <c r="R1493" i="1"/>
  <c r="S1493" i="1"/>
  <c r="N1494" i="1"/>
  <c r="R1494" i="1"/>
  <c r="S1494" i="1"/>
  <c r="N1495" i="1"/>
  <c r="R1495" i="1"/>
  <c r="S1495" i="1"/>
  <c r="N1496" i="1"/>
  <c r="R1496" i="1"/>
  <c r="S1496" i="1"/>
  <c r="N1497" i="1"/>
  <c r="R1497" i="1"/>
  <c r="S1497" i="1"/>
  <c r="N1498" i="1"/>
  <c r="R1498" i="1"/>
  <c r="S1498" i="1"/>
  <c r="N1499" i="1"/>
  <c r="R1499" i="1"/>
  <c r="S1499" i="1"/>
  <c r="N1500" i="1"/>
  <c r="R1500" i="1"/>
  <c r="S1500" i="1"/>
  <c r="N1501" i="1"/>
  <c r="R1501" i="1"/>
  <c r="S1501" i="1"/>
  <c r="N1502" i="1"/>
  <c r="R1502" i="1"/>
  <c r="S1502" i="1"/>
  <c r="N1503" i="1"/>
  <c r="R1503" i="1"/>
  <c r="S1503" i="1"/>
  <c r="N1504" i="1"/>
  <c r="R1504" i="1"/>
  <c r="S1504" i="1"/>
  <c r="N1505" i="1"/>
  <c r="R1505" i="1"/>
  <c r="S1505" i="1"/>
  <c r="N1506" i="1"/>
  <c r="R1506" i="1"/>
  <c r="S1506" i="1"/>
  <c r="N1507" i="1"/>
  <c r="R1507" i="1"/>
  <c r="S1507" i="1"/>
  <c r="N1508" i="1"/>
  <c r="R1508" i="1"/>
  <c r="S1508" i="1"/>
  <c r="N1509" i="1"/>
  <c r="R1509" i="1"/>
  <c r="S1509" i="1"/>
  <c r="N1510" i="1"/>
  <c r="R1510" i="1"/>
  <c r="S1510" i="1"/>
  <c r="N1511" i="1"/>
  <c r="R1511" i="1"/>
  <c r="S1511" i="1"/>
  <c r="N1512" i="1"/>
  <c r="R1512" i="1"/>
  <c r="S1512" i="1"/>
  <c r="N1513" i="1"/>
  <c r="R1513" i="1"/>
  <c r="S1513" i="1"/>
  <c r="N1514" i="1"/>
  <c r="R1514" i="1"/>
  <c r="S1514" i="1"/>
  <c r="N1515" i="1"/>
  <c r="R1515" i="1"/>
  <c r="S1515" i="1"/>
  <c r="N1516" i="1"/>
  <c r="R1516" i="1"/>
  <c r="S1516" i="1"/>
  <c r="N1517" i="1"/>
  <c r="R1517" i="1"/>
  <c r="S1517" i="1"/>
  <c r="N1518" i="1"/>
  <c r="R1518" i="1"/>
  <c r="S1518" i="1"/>
  <c r="N1519" i="1"/>
  <c r="R1519" i="1"/>
  <c r="S1519" i="1"/>
  <c r="N1520" i="1"/>
  <c r="R1520" i="1"/>
  <c r="S1520" i="1"/>
  <c r="N1521" i="1"/>
  <c r="R1521" i="1"/>
  <c r="S1521" i="1"/>
  <c r="N1522" i="1"/>
  <c r="R1522" i="1"/>
  <c r="S1522" i="1"/>
  <c r="N1523" i="1"/>
  <c r="R1523" i="1"/>
  <c r="S1523" i="1"/>
  <c r="N1524" i="1"/>
  <c r="R1524" i="1"/>
  <c r="S1524" i="1"/>
  <c r="N1525" i="1"/>
  <c r="R1525" i="1"/>
  <c r="S1525" i="1"/>
  <c r="N1526" i="1"/>
  <c r="R1526" i="1"/>
  <c r="S1526" i="1"/>
  <c r="N1527" i="1"/>
  <c r="R1527" i="1"/>
  <c r="S1527" i="1"/>
  <c r="N1528" i="1"/>
  <c r="R1528" i="1"/>
  <c r="S1528" i="1"/>
  <c r="N1529" i="1"/>
  <c r="R1529" i="1"/>
  <c r="S1529" i="1"/>
  <c r="N1530" i="1"/>
  <c r="R1530" i="1"/>
  <c r="S1530" i="1"/>
  <c r="N1531" i="1"/>
  <c r="R1531" i="1"/>
  <c r="S1531" i="1"/>
  <c r="N1532" i="1"/>
  <c r="R1532" i="1"/>
  <c r="S1532" i="1"/>
  <c r="N1533" i="1"/>
  <c r="R1533" i="1"/>
  <c r="S1533" i="1"/>
  <c r="N1534" i="1"/>
  <c r="R1534" i="1"/>
  <c r="S1534" i="1"/>
  <c r="N1535" i="1"/>
  <c r="R1535" i="1"/>
  <c r="S1535" i="1"/>
  <c r="N1536" i="1"/>
  <c r="R1536" i="1"/>
  <c r="S1536" i="1"/>
  <c r="N1537" i="1"/>
  <c r="R1537" i="1"/>
  <c r="S1537" i="1"/>
  <c r="N1538" i="1"/>
  <c r="R1538" i="1"/>
  <c r="S1538" i="1"/>
  <c r="N1539" i="1"/>
  <c r="R1539" i="1"/>
  <c r="S1539" i="1"/>
  <c r="N1540" i="1"/>
  <c r="R1540" i="1"/>
  <c r="S1540" i="1"/>
  <c r="N1541" i="1"/>
  <c r="R1541" i="1"/>
  <c r="S1541" i="1"/>
  <c r="N1542" i="1"/>
  <c r="R1542" i="1"/>
  <c r="S1542" i="1"/>
  <c r="N1543" i="1"/>
  <c r="R1543" i="1"/>
  <c r="S1543" i="1"/>
  <c r="N1544" i="1"/>
  <c r="R1544" i="1"/>
  <c r="S1544" i="1"/>
  <c r="N1545" i="1"/>
  <c r="R1545" i="1"/>
  <c r="S1545" i="1"/>
  <c r="N1546" i="1"/>
  <c r="R1546" i="1"/>
  <c r="S1546" i="1"/>
  <c r="N1547" i="1"/>
  <c r="R1547" i="1"/>
  <c r="S1547" i="1"/>
  <c r="N1548" i="1"/>
  <c r="R1548" i="1"/>
  <c r="S1548" i="1"/>
  <c r="N1549" i="1"/>
  <c r="R1549" i="1"/>
  <c r="S1549" i="1"/>
  <c r="N1550" i="1"/>
  <c r="S1550" i="1"/>
  <c r="N1551" i="1"/>
  <c r="R1551" i="1"/>
  <c r="S1551" i="1"/>
  <c r="N1552" i="1"/>
  <c r="R1552" i="1"/>
  <c r="S1552" i="1"/>
  <c r="N1553" i="1"/>
  <c r="R1553" i="1"/>
  <c r="S1553" i="1"/>
  <c r="N1554" i="1"/>
  <c r="R1554" i="1"/>
  <c r="S1554" i="1"/>
  <c r="N1555" i="1"/>
  <c r="R1555" i="1"/>
  <c r="S1555" i="1"/>
  <c r="N1556" i="1"/>
  <c r="R1556" i="1"/>
  <c r="S1556" i="1"/>
  <c r="N1557" i="1"/>
  <c r="R1557" i="1"/>
  <c r="S1557" i="1"/>
  <c r="N1558" i="1"/>
  <c r="R1558" i="1"/>
  <c r="S1558" i="1"/>
  <c r="N1559" i="1"/>
  <c r="R1559" i="1"/>
  <c r="S1559" i="1"/>
  <c r="N1560" i="1"/>
  <c r="R1560" i="1"/>
  <c r="S1560" i="1"/>
  <c r="N1561" i="1"/>
  <c r="R1561" i="1"/>
  <c r="S1561" i="1"/>
  <c r="N1562" i="1"/>
  <c r="N1563" i="1"/>
  <c r="N1564" i="1"/>
  <c r="S1564" i="1"/>
  <c r="N1565" i="1"/>
  <c r="R1565" i="1"/>
  <c r="N1566" i="1"/>
  <c r="N1567" i="1"/>
  <c r="R1567" i="1"/>
  <c r="N1568" i="1"/>
  <c r="N1569" i="1"/>
  <c r="N1570" i="1"/>
  <c r="N1571" i="1"/>
  <c r="N1572" i="1"/>
  <c r="N1573" i="1"/>
  <c r="N1574" i="1"/>
  <c r="N1575" i="1"/>
  <c r="N1576" i="1"/>
  <c r="N1577" i="1"/>
  <c r="R1577" i="1"/>
  <c r="S1577" i="1"/>
  <c r="N1578" i="1"/>
  <c r="R1578" i="1"/>
  <c r="S1578" i="1"/>
  <c r="N1579" i="1"/>
  <c r="R1579" i="1"/>
  <c r="S1579" i="1"/>
  <c r="N1580" i="1"/>
  <c r="R1580" i="1"/>
  <c r="S1580" i="1"/>
  <c r="N1581" i="1"/>
  <c r="R1581" i="1"/>
  <c r="S1581" i="1"/>
  <c r="N1582" i="1"/>
  <c r="R1582" i="1"/>
  <c r="S1582" i="1"/>
  <c r="N1583" i="1"/>
  <c r="R1583" i="1"/>
  <c r="S1583" i="1"/>
  <c r="N1584" i="1"/>
  <c r="R1584" i="1"/>
  <c r="S1584" i="1"/>
  <c r="N1585" i="1"/>
  <c r="R1585" i="1"/>
  <c r="S1585" i="1"/>
  <c r="N1586" i="1"/>
  <c r="R1586" i="1"/>
  <c r="S1586" i="1"/>
  <c r="N1587" i="1"/>
  <c r="R1587" i="1"/>
  <c r="S1587" i="1"/>
  <c r="N1588" i="1"/>
  <c r="R1588" i="1"/>
  <c r="S1588" i="1"/>
  <c r="N1589" i="1"/>
  <c r="R1589" i="1"/>
  <c r="S1589" i="1"/>
  <c r="N1590" i="1"/>
  <c r="R1590" i="1"/>
  <c r="S1590" i="1"/>
  <c r="N1591" i="1"/>
  <c r="R1591" i="1"/>
  <c r="S1591" i="1"/>
  <c r="N1592" i="1"/>
  <c r="R1592" i="1"/>
  <c r="S1592" i="1"/>
  <c r="N1593" i="1"/>
  <c r="R1593" i="1"/>
  <c r="S1593" i="1"/>
  <c r="N1594" i="1"/>
  <c r="R1594" i="1"/>
  <c r="S1594" i="1"/>
  <c r="N1595" i="1"/>
  <c r="R1595" i="1"/>
  <c r="S1595" i="1"/>
  <c r="N1596" i="1"/>
  <c r="R1596" i="1"/>
  <c r="S1596" i="1"/>
  <c r="N1597" i="1"/>
  <c r="R1597" i="1"/>
  <c r="S1597" i="1"/>
  <c r="N1598" i="1"/>
  <c r="R1598" i="1"/>
  <c r="S1598" i="1"/>
  <c r="N1599" i="1"/>
  <c r="R1599" i="1"/>
  <c r="S1599" i="1"/>
  <c r="N1600" i="1"/>
  <c r="R1600" i="1"/>
  <c r="S1600" i="1"/>
  <c r="N1601" i="1"/>
  <c r="R1601" i="1"/>
  <c r="S1601" i="1"/>
  <c r="N1602" i="1"/>
  <c r="R1602" i="1"/>
  <c r="S1602" i="1"/>
  <c r="N1603" i="1"/>
  <c r="R1603" i="1"/>
  <c r="S1603" i="1"/>
  <c r="N1604" i="1"/>
  <c r="R1604" i="1"/>
  <c r="S1604" i="1"/>
  <c r="N1605" i="1"/>
  <c r="R1605" i="1"/>
  <c r="S1605" i="1"/>
  <c r="N1606" i="1"/>
  <c r="R1606" i="1"/>
  <c r="S1606" i="1"/>
  <c r="N1607" i="1"/>
  <c r="R1607" i="1"/>
  <c r="S1607" i="1"/>
  <c r="N1608" i="1"/>
  <c r="R1608" i="1"/>
  <c r="S1608" i="1"/>
  <c r="N1609" i="1"/>
  <c r="R1609" i="1"/>
  <c r="S1609" i="1"/>
  <c r="N1610" i="1"/>
  <c r="R1610" i="1"/>
  <c r="S1610" i="1"/>
  <c r="N1611" i="1"/>
  <c r="R1611" i="1"/>
  <c r="S1611" i="1"/>
  <c r="N1612" i="1"/>
  <c r="R1612" i="1"/>
  <c r="S1612" i="1"/>
  <c r="N1613" i="1"/>
  <c r="R1613" i="1"/>
  <c r="S1613" i="1"/>
  <c r="N1614" i="1"/>
  <c r="R1614" i="1"/>
  <c r="S1614" i="1"/>
  <c r="N1615" i="1"/>
  <c r="R1615" i="1"/>
  <c r="S1615" i="1"/>
  <c r="N1616" i="1"/>
  <c r="R1616" i="1"/>
  <c r="S1616" i="1"/>
  <c r="N1617" i="1"/>
  <c r="R1617" i="1"/>
  <c r="S1617" i="1"/>
  <c r="N1618" i="1"/>
  <c r="R1618" i="1"/>
  <c r="S1618" i="1"/>
  <c r="N1619" i="1"/>
  <c r="R1619" i="1"/>
  <c r="S1619" i="1"/>
  <c r="N1620" i="1"/>
  <c r="R1620" i="1"/>
  <c r="S1620" i="1"/>
  <c r="N1621" i="1"/>
  <c r="R1621" i="1"/>
  <c r="S1621" i="1"/>
  <c r="N1622" i="1"/>
  <c r="R1622" i="1"/>
  <c r="S1622" i="1"/>
  <c r="N1623" i="1"/>
  <c r="R1623" i="1"/>
  <c r="S1623" i="1"/>
  <c r="N1624" i="1"/>
  <c r="R1624" i="1"/>
  <c r="S1624" i="1"/>
  <c r="N1625" i="1"/>
  <c r="R1625" i="1"/>
  <c r="S1625" i="1"/>
  <c r="N1626" i="1"/>
  <c r="R1626" i="1"/>
  <c r="S1626" i="1"/>
  <c r="N1627" i="1"/>
  <c r="R1627" i="1"/>
  <c r="S1627" i="1"/>
  <c r="N1628" i="1"/>
  <c r="R1628" i="1"/>
  <c r="S1628" i="1"/>
  <c r="N1629" i="1"/>
  <c r="R1629" i="1"/>
  <c r="S1629" i="1"/>
  <c r="N1630" i="1"/>
  <c r="R1630" i="1"/>
  <c r="S1630" i="1"/>
  <c r="N1631" i="1"/>
  <c r="R1631" i="1"/>
  <c r="S1631" i="1"/>
  <c r="N1632" i="1"/>
  <c r="R1632" i="1"/>
  <c r="S1632" i="1"/>
  <c r="N1633" i="1"/>
  <c r="R1633" i="1"/>
  <c r="S1633" i="1"/>
  <c r="N1634" i="1"/>
  <c r="R1634" i="1"/>
  <c r="S1634" i="1"/>
  <c r="N1635" i="1"/>
  <c r="R1635" i="1"/>
  <c r="S1635" i="1"/>
  <c r="N1636" i="1"/>
  <c r="R1636" i="1"/>
  <c r="S1636" i="1"/>
  <c r="N1637" i="1"/>
  <c r="R1637" i="1"/>
  <c r="S1637" i="1"/>
  <c r="N1638" i="1"/>
  <c r="R1638" i="1"/>
  <c r="S1638" i="1"/>
  <c r="N1639" i="1"/>
  <c r="R1639" i="1"/>
  <c r="S1639" i="1"/>
  <c r="N1640" i="1"/>
  <c r="R1640" i="1"/>
  <c r="S1640" i="1"/>
  <c r="N1641" i="1"/>
  <c r="R1641" i="1"/>
  <c r="S1641" i="1"/>
  <c r="N1642" i="1"/>
  <c r="R1642" i="1"/>
  <c r="S1642" i="1"/>
  <c r="N1643" i="1"/>
  <c r="R1643" i="1"/>
  <c r="S1643" i="1"/>
  <c r="N1644" i="1"/>
  <c r="R1644" i="1"/>
  <c r="S1644" i="1"/>
  <c r="N1645" i="1"/>
  <c r="R1645" i="1"/>
  <c r="S1645" i="1"/>
  <c r="N1646" i="1"/>
  <c r="R1646" i="1"/>
  <c r="S1646" i="1"/>
  <c r="N1647" i="1"/>
  <c r="R1647" i="1"/>
  <c r="S1647" i="1"/>
  <c r="N1648" i="1"/>
  <c r="R1648" i="1"/>
  <c r="S1648" i="1"/>
  <c r="N1649" i="1"/>
  <c r="R1649" i="1"/>
  <c r="S1649" i="1"/>
  <c r="N1650" i="1"/>
  <c r="R1650" i="1"/>
  <c r="S1650" i="1"/>
  <c r="N1651" i="1"/>
  <c r="R1651" i="1"/>
  <c r="S1651" i="1"/>
  <c r="N1652" i="1"/>
  <c r="R1652" i="1"/>
  <c r="S1652" i="1"/>
  <c r="N1653" i="1"/>
  <c r="R1653" i="1"/>
  <c r="S1653" i="1"/>
  <c r="N1654" i="1"/>
  <c r="R1654" i="1"/>
  <c r="S1654" i="1"/>
  <c r="N1655" i="1"/>
  <c r="R1655" i="1"/>
  <c r="S1655" i="1"/>
  <c r="N1656" i="1"/>
  <c r="R1656" i="1"/>
  <c r="S1656" i="1"/>
  <c r="N1657" i="1"/>
  <c r="R1657" i="1"/>
  <c r="S1657" i="1"/>
  <c r="N1658" i="1"/>
  <c r="R1658" i="1"/>
  <c r="S1658" i="1"/>
  <c r="N1659" i="1"/>
  <c r="R1659" i="1"/>
  <c r="S1659" i="1"/>
  <c r="N1660" i="1"/>
  <c r="R1660" i="1"/>
  <c r="S1660" i="1"/>
  <c r="N1661" i="1"/>
  <c r="R1661" i="1"/>
  <c r="S1661" i="1"/>
  <c r="N1662" i="1"/>
  <c r="R1662" i="1"/>
  <c r="S1662" i="1"/>
  <c r="N1663" i="1"/>
  <c r="R1663" i="1"/>
  <c r="S1663" i="1"/>
  <c r="N1664" i="1"/>
  <c r="R1664" i="1"/>
  <c r="S1664" i="1"/>
  <c r="N1665" i="1"/>
  <c r="R1665" i="1"/>
  <c r="S1665" i="1"/>
  <c r="N1666" i="1"/>
  <c r="R1666" i="1"/>
  <c r="S1666" i="1"/>
  <c r="N1667" i="1"/>
  <c r="R1667" i="1"/>
  <c r="S1667" i="1"/>
  <c r="N1668" i="1"/>
  <c r="R1668" i="1"/>
  <c r="S1668" i="1"/>
  <c r="N1669" i="1"/>
  <c r="R1669" i="1"/>
  <c r="S1669" i="1"/>
  <c r="N1670" i="1"/>
  <c r="R1670" i="1"/>
  <c r="S1670" i="1"/>
  <c r="N1671" i="1"/>
  <c r="R1671" i="1"/>
  <c r="S1671" i="1"/>
  <c r="N1672" i="1"/>
  <c r="R1672" i="1"/>
  <c r="S1672" i="1"/>
  <c r="N1673" i="1"/>
  <c r="R1673" i="1"/>
  <c r="S1673" i="1"/>
  <c r="N1674" i="1"/>
  <c r="R1674" i="1"/>
  <c r="S1674" i="1"/>
  <c r="N1675" i="1"/>
  <c r="R1675" i="1"/>
  <c r="S1675" i="1"/>
  <c r="N1676" i="1"/>
  <c r="R1676" i="1"/>
  <c r="S1676" i="1"/>
  <c r="N1677" i="1"/>
  <c r="R1677" i="1"/>
  <c r="S1677" i="1"/>
  <c r="N1678" i="1"/>
  <c r="R1678" i="1"/>
  <c r="S1678" i="1"/>
  <c r="N1679" i="1"/>
  <c r="R1679" i="1"/>
  <c r="S1679" i="1"/>
  <c r="N1680" i="1"/>
  <c r="R1680" i="1"/>
  <c r="S1680" i="1"/>
  <c r="N1681" i="1"/>
  <c r="R1681" i="1"/>
  <c r="S1681" i="1"/>
  <c r="N1682" i="1"/>
  <c r="R1682" i="1"/>
  <c r="S1682" i="1"/>
  <c r="N1683" i="1"/>
  <c r="R1683" i="1"/>
  <c r="S1683" i="1"/>
  <c r="N1684" i="1"/>
  <c r="R1684" i="1"/>
  <c r="S1684" i="1"/>
  <c r="N1685" i="1"/>
  <c r="R1685" i="1"/>
  <c r="S1685" i="1"/>
  <c r="N1686" i="1"/>
  <c r="R1686" i="1"/>
  <c r="S1686" i="1"/>
  <c r="N1687" i="1"/>
  <c r="R1687" i="1"/>
  <c r="S1687" i="1"/>
  <c r="N1688" i="1"/>
  <c r="R1688" i="1"/>
  <c r="S1688" i="1"/>
  <c r="N1689" i="1"/>
  <c r="R1689" i="1"/>
  <c r="S1689" i="1"/>
  <c r="N1690" i="1"/>
  <c r="R1690" i="1"/>
  <c r="S1690" i="1"/>
  <c r="N1691" i="1"/>
  <c r="S1691" i="1"/>
  <c r="N1692" i="1"/>
  <c r="R1692" i="1"/>
  <c r="S1692" i="1"/>
  <c r="N1693" i="1"/>
  <c r="R1693" i="1"/>
  <c r="S1693" i="1"/>
  <c r="N1694" i="1"/>
  <c r="R1694" i="1"/>
  <c r="S1694" i="1"/>
  <c r="N1695" i="1"/>
  <c r="R1695" i="1"/>
  <c r="S1695" i="1"/>
  <c r="N1696" i="1"/>
  <c r="R1696" i="1"/>
  <c r="S1696" i="1"/>
  <c r="N1697" i="1"/>
  <c r="R1697" i="1"/>
  <c r="S1697" i="1"/>
  <c r="N1698" i="1"/>
  <c r="R1698" i="1"/>
  <c r="S1698" i="1"/>
  <c r="N1699" i="1"/>
  <c r="R1699" i="1"/>
  <c r="S1699" i="1"/>
  <c r="N1700" i="1"/>
  <c r="R1700" i="1"/>
  <c r="S1700" i="1"/>
  <c r="N1701" i="1"/>
  <c r="R1701" i="1"/>
  <c r="S1701" i="1"/>
  <c r="N1702" i="1"/>
  <c r="R1702" i="1"/>
  <c r="S1702" i="1"/>
  <c r="N1703" i="1"/>
  <c r="R1703" i="1"/>
  <c r="S1703" i="1"/>
  <c r="N1704" i="1"/>
  <c r="R1704" i="1"/>
  <c r="S1704" i="1"/>
  <c r="N1705" i="1"/>
  <c r="R1705" i="1"/>
  <c r="S1705" i="1"/>
  <c r="N1706" i="1"/>
  <c r="R1706" i="1"/>
  <c r="S1706" i="1"/>
  <c r="N1707" i="1"/>
  <c r="R1707" i="1"/>
  <c r="S1707" i="1"/>
  <c r="N1708" i="1"/>
  <c r="R1708" i="1"/>
  <c r="S1708" i="1"/>
  <c r="N1709" i="1"/>
  <c r="R1709" i="1"/>
  <c r="S1709" i="1"/>
  <c r="N1710" i="1"/>
  <c r="R1710" i="1"/>
  <c r="S1710" i="1"/>
  <c r="N1711" i="1"/>
  <c r="R1711" i="1"/>
  <c r="S1711" i="1"/>
  <c r="N1712" i="1"/>
  <c r="R1712" i="1"/>
  <c r="S1712" i="1"/>
  <c r="N1713" i="1"/>
  <c r="R1713" i="1"/>
  <c r="S1713" i="1"/>
  <c r="N1714" i="1"/>
  <c r="R1714" i="1"/>
  <c r="S1714" i="1"/>
  <c r="N1715" i="1"/>
  <c r="R1715" i="1"/>
  <c r="S1715" i="1"/>
  <c r="N1716" i="1"/>
  <c r="R1716" i="1"/>
  <c r="S1716" i="1"/>
  <c r="N1717" i="1"/>
  <c r="R1717" i="1"/>
  <c r="S1717" i="1"/>
  <c r="N1718" i="1"/>
  <c r="R1718" i="1"/>
  <c r="S1718" i="1"/>
  <c r="N1719" i="1"/>
  <c r="R1719" i="1"/>
  <c r="S1719" i="1"/>
  <c r="N1720" i="1"/>
  <c r="R1720" i="1"/>
  <c r="S1720" i="1"/>
  <c r="N1721" i="1"/>
  <c r="R1721" i="1"/>
  <c r="S1721" i="1"/>
  <c r="N1722" i="1"/>
  <c r="R1722" i="1"/>
  <c r="S1722" i="1"/>
  <c r="N1723" i="1"/>
  <c r="R1723" i="1"/>
  <c r="S1723" i="1"/>
  <c r="N1724" i="1"/>
  <c r="R1724" i="1"/>
  <c r="S1724" i="1"/>
  <c r="N1725" i="1"/>
  <c r="R1725" i="1"/>
  <c r="S1725" i="1"/>
  <c r="N1726" i="1"/>
  <c r="R1726" i="1"/>
  <c r="S1726" i="1"/>
  <c r="N1727" i="1"/>
  <c r="R1727" i="1"/>
  <c r="S1727" i="1"/>
  <c r="N1728" i="1"/>
  <c r="R1728" i="1"/>
  <c r="S1728" i="1"/>
  <c r="N1729" i="1"/>
  <c r="R1729" i="1"/>
  <c r="S1729" i="1"/>
  <c r="N1730" i="1"/>
  <c r="R1730" i="1"/>
  <c r="S1730" i="1"/>
  <c r="N1731" i="1"/>
  <c r="R1731" i="1"/>
  <c r="S1731" i="1"/>
  <c r="N1732" i="1"/>
  <c r="R1732" i="1"/>
  <c r="S1732" i="1"/>
  <c r="N1733" i="1"/>
  <c r="R1733" i="1"/>
  <c r="S1733" i="1"/>
  <c r="N1734" i="1"/>
  <c r="R1734" i="1"/>
  <c r="S1734" i="1"/>
  <c r="N1735" i="1"/>
  <c r="R1735" i="1"/>
  <c r="S1735" i="1"/>
  <c r="N1736" i="1"/>
  <c r="R1736" i="1"/>
  <c r="S1736" i="1"/>
  <c r="N1737" i="1"/>
  <c r="R1737" i="1"/>
  <c r="S1737" i="1"/>
  <c r="N1738" i="1"/>
  <c r="R1738" i="1"/>
  <c r="S1738" i="1"/>
  <c r="N1739" i="1"/>
  <c r="R1739" i="1"/>
  <c r="S1739" i="1"/>
  <c r="N1740" i="1"/>
  <c r="R1740" i="1"/>
  <c r="S1740" i="1"/>
  <c r="N1741" i="1"/>
  <c r="R1741" i="1"/>
  <c r="S1741" i="1"/>
  <c r="N1742" i="1"/>
  <c r="R1742" i="1"/>
  <c r="S1742" i="1"/>
  <c r="N1743" i="1"/>
  <c r="R1743" i="1"/>
  <c r="S1743" i="1"/>
  <c r="N1744" i="1"/>
  <c r="R1744" i="1"/>
  <c r="S1744" i="1"/>
  <c r="N1745" i="1"/>
  <c r="R1745" i="1"/>
  <c r="S1745" i="1"/>
  <c r="N1746" i="1"/>
  <c r="R1746" i="1"/>
  <c r="S1746" i="1"/>
  <c r="N1747" i="1"/>
  <c r="R1747" i="1"/>
  <c r="S1747" i="1"/>
  <c r="N1748" i="1"/>
  <c r="R1748" i="1"/>
  <c r="S1748" i="1"/>
  <c r="N1749" i="1"/>
  <c r="R1749" i="1"/>
  <c r="S1749" i="1"/>
  <c r="N1750" i="1"/>
  <c r="R1750" i="1"/>
  <c r="S1750" i="1"/>
  <c r="N1751" i="1"/>
  <c r="S1751" i="1"/>
  <c r="N1752" i="1"/>
  <c r="R1752" i="1"/>
  <c r="S1752" i="1"/>
  <c r="N1753" i="1"/>
  <c r="R1753" i="1"/>
  <c r="S1753" i="1"/>
  <c r="N1754" i="1"/>
  <c r="R1754" i="1"/>
  <c r="S1754" i="1"/>
  <c r="N1755" i="1"/>
  <c r="R1755" i="1"/>
  <c r="S1755" i="1"/>
  <c r="N1756" i="1"/>
  <c r="R1756" i="1"/>
  <c r="S1756" i="1"/>
  <c r="N1757" i="1"/>
  <c r="R1757" i="1"/>
  <c r="S1757" i="1"/>
  <c r="N1758" i="1"/>
  <c r="R1758" i="1"/>
  <c r="S1758" i="1"/>
  <c r="N1759" i="1"/>
  <c r="R1759" i="1"/>
  <c r="S1759" i="1"/>
  <c r="N1760" i="1"/>
  <c r="R1760" i="1"/>
  <c r="S1760" i="1"/>
  <c r="N1761" i="1"/>
  <c r="R1761" i="1"/>
  <c r="S1761" i="1"/>
  <c r="N1762" i="1"/>
  <c r="R1762" i="1"/>
  <c r="S1762" i="1"/>
  <c r="N1763" i="1"/>
  <c r="R1763" i="1"/>
  <c r="S1763" i="1"/>
  <c r="N1764" i="1"/>
  <c r="R1764" i="1"/>
  <c r="S1764" i="1"/>
  <c r="N1765" i="1"/>
  <c r="R1765" i="1"/>
  <c r="S1765" i="1"/>
  <c r="N1766" i="1"/>
  <c r="R1766" i="1"/>
  <c r="S1766" i="1"/>
  <c r="N1767" i="1"/>
  <c r="R1767" i="1"/>
  <c r="N1768" i="1"/>
  <c r="R1768" i="1"/>
  <c r="S1768" i="1"/>
  <c r="N1769" i="1"/>
  <c r="R1769" i="1"/>
  <c r="S1769" i="1"/>
  <c r="N1770" i="1"/>
  <c r="R1770" i="1"/>
  <c r="S1770" i="1"/>
  <c r="N1771" i="1"/>
  <c r="R1771" i="1"/>
  <c r="S1771" i="1"/>
  <c r="N1772" i="1"/>
  <c r="R1772" i="1"/>
  <c r="S1772" i="1"/>
  <c r="N1773" i="1"/>
  <c r="R1773" i="1"/>
  <c r="S1773" i="1"/>
  <c r="N1774" i="1"/>
  <c r="R1774" i="1"/>
  <c r="S1774" i="1"/>
  <c r="N1775" i="1"/>
  <c r="N1776" i="1"/>
  <c r="R1776" i="1"/>
  <c r="S1776" i="1"/>
  <c r="N1777" i="1"/>
  <c r="R1777" i="1"/>
  <c r="S1777" i="1"/>
  <c r="N1778" i="1"/>
  <c r="R1778" i="1"/>
  <c r="S1778" i="1"/>
  <c r="N1779" i="1"/>
  <c r="R1779" i="1"/>
  <c r="S1779" i="1"/>
  <c r="N1780" i="1"/>
  <c r="R1780" i="1"/>
  <c r="S1780" i="1"/>
  <c r="N1781" i="1"/>
  <c r="R1781" i="1"/>
  <c r="S1781" i="1"/>
  <c r="N1782" i="1"/>
  <c r="R1782" i="1"/>
  <c r="S1782" i="1"/>
  <c r="N1783" i="1"/>
  <c r="R1783" i="1"/>
  <c r="S1783" i="1"/>
  <c r="N1784" i="1"/>
  <c r="R1784" i="1"/>
  <c r="S1784" i="1"/>
  <c r="N1785" i="1"/>
  <c r="R1785" i="1"/>
  <c r="S1785" i="1"/>
  <c r="N1786" i="1"/>
  <c r="R1786" i="1"/>
  <c r="S1786" i="1"/>
  <c r="N1787" i="1"/>
  <c r="R1787" i="1"/>
  <c r="S1787" i="1"/>
  <c r="N1788" i="1"/>
  <c r="R1788" i="1"/>
  <c r="S1788" i="1"/>
  <c r="N1789" i="1"/>
  <c r="R1789" i="1"/>
  <c r="S1789" i="1"/>
  <c r="N1790" i="1"/>
  <c r="R1790" i="1"/>
  <c r="S1790" i="1"/>
  <c r="N1791" i="1"/>
  <c r="R1791" i="1"/>
  <c r="S1791" i="1"/>
  <c r="N1792" i="1"/>
  <c r="R1792" i="1"/>
  <c r="S1792" i="1"/>
  <c r="N1793" i="1"/>
  <c r="R1793" i="1"/>
  <c r="S1793" i="1"/>
  <c r="N1794" i="1"/>
  <c r="R1794" i="1"/>
  <c r="S1794" i="1"/>
  <c r="N1795" i="1"/>
  <c r="R1795" i="1"/>
  <c r="S1795" i="1"/>
  <c r="N1796" i="1"/>
  <c r="R1796" i="1"/>
  <c r="S1796" i="1"/>
  <c r="N1797" i="1"/>
  <c r="R1797" i="1"/>
  <c r="S1797" i="1"/>
  <c r="N1798" i="1"/>
  <c r="R1798" i="1"/>
  <c r="S1798" i="1"/>
  <c r="N1799" i="1"/>
  <c r="R1799" i="1"/>
  <c r="S1799" i="1"/>
  <c r="N1800" i="1"/>
  <c r="R1800" i="1"/>
  <c r="S1800" i="1"/>
  <c r="N1801" i="1"/>
  <c r="R1801" i="1"/>
  <c r="S1801" i="1"/>
  <c r="N1802" i="1"/>
  <c r="R1802" i="1"/>
  <c r="S1802" i="1"/>
  <c r="N1803" i="1"/>
  <c r="R1803" i="1"/>
  <c r="S1803" i="1"/>
  <c r="N1804" i="1"/>
  <c r="R1804" i="1"/>
  <c r="S1804" i="1"/>
  <c r="N1805" i="1"/>
  <c r="R1805" i="1"/>
  <c r="S1805" i="1"/>
  <c r="N1806" i="1"/>
  <c r="R1806" i="1"/>
  <c r="S1806" i="1"/>
  <c r="N1807" i="1"/>
  <c r="R1807" i="1"/>
  <c r="S1807" i="1"/>
  <c r="N1808" i="1"/>
  <c r="R1808" i="1"/>
  <c r="S1808" i="1"/>
  <c r="N1809" i="1"/>
  <c r="R1809" i="1"/>
  <c r="S1809" i="1"/>
  <c r="N1810" i="1"/>
  <c r="R1810" i="1"/>
  <c r="S1810" i="1"/>
  <c r="N1811" i="1"/>
  <c r="R1811" i="1"/>
  <c r="S1811" i="1"/>
  <c r="N1812" i="1"/>
  <c r="R1812" i="1"/>
  <c r="S1812" i="1"/>
  <c r="N1813" i="1"/>
  <c r="R1813" i="1"/>
  <c r="S1813" i="1"/>
  <c r="N1814" i="1"/>
  <c r="R1814" i="1"/>
  <c r="S1814" i="1"/>
  <c r="N1815" i="1"/>
  <c r="R1815" i="1"/>
  <c r="S1815" i="1"/>
  <c r="N1816" i="1"/>
  <c r="R1816" i="1"/>
  <c r="S1816" i="1"/>
  <c r="N1817" i="1"/>
  <c r="R1817" i="1"/>
  <c r="S1817" i="1"/>
  <c r="N1818" i="1"/>
  <c r="R1818" i="1"/>
  <c r="S1818" i="1"/>
  <c r="N1819" i="1"/>
  <c r="R1819" i="1"/>
  <c r="S1819" i="1"/>
  <c r="N1820" i="1"/>
  <c r="R1820" i="1"/>
  <c r="S1820" i="1"/>
  <c r="N1821" i="1"/>
  <c r="R1821" i="1"/>
  <c r="S1821" i="1"/>
  <c r="N1822" i="1"/>
  <c r="R1822" i="1"/>
  <c r="S1822" i="1"/>
  <c r="N1823" i="1"/>
  <c r="R1823" i="1"/>
  <c r="S1823" i="1"/>
  <c r="N1824" i="1"/>
  <c r="R1824" i="1"/>
  <c r="S1824" i="1"/>
  <c r="N1825" i="1"/>
  <c r="R1825" i="1"/>
  <c r="S1825" i="1"/>
  <c r="N1826" i="1"/>
  <c r="R1826" i="1"/>
  <c r="S1826" i="1"/>
  <c r="N1827" i="1"/>
  <c r="R1827" i="1"/>
  <c r="S1827" i="1"/>
  <c r="N1828" i="1"/>
  <c r="R1828" i="1"/>
  <c r="S1828" i="1"/>
  <c r="N1829" i="1"/>
  <c r="R1829" i="1"/>
  <c r="S1829" i="1"/>
  <c r="N1830" i="1"/>
  <c r="R1830" i="1"/>
  <c r="S1830" i="1"/>
  <c r="N1831" i="1"/>
  <c r="R1831" i="1"/>
  <c r="S1831" i="1"/>
  <c r="N1832" i="1"/>
  <c r="R1832" i="1"/>
  <c r="S1832" i="1"/>
  <c r="N1833" i="1"/>
  <c r="R1833" i="1"/>
  <c r="S1833" i="1"/>
  <c r="N1834" i="1"/>
  <c r="R1834" i="1"/>
  <c r="S1834" i="1"/>
  <c r="N1835" i="1"/>
  <c r="R1835" i="1"/>
  <c r="S1835" i="1"/>
  <c r="N1836" i="1"/>
  <c r="R1836" i="1"/>
  <c r="S1836" i="1"/>
  <c r="N1837" i="1"/>
  <c r="R1837" i="1"/>
  <c r="S1837" i="1"/>
  <c r="N1838" i="1"/>
  <c r="R1838" i="1"/>
  <c r="S1838" i="1"/>
  <c r="N1839" i="1"/>
  <c r="R1839" i="1"/>
  <c r="S1839" i="1"/>
  <c r="N1840" i="1"/>
  <c r="R1840" i="1"/>
  <c r="S1840" i="1"/>
  <c r="N1841" i="1"/>
  <c r="R1841" i="1"/>
  <c r="S1841" i="1"/>
  <c r="N1842" i="1"/>
  <c r="R1842" i="1"/>
  <c r="S1842" i="1"/>
  <c r="N1843" i="1"/>
  <c r="R1843" i="1"/>
  <c r="S1843" i="1"/>
  <c r="N1844" i="1"/>
  <c r="R1844" i="1"/>
  <c r="S1844" i="1"/>
  <c r="N1845" i="1"/>
  <c r="R1845" i="1"/>
  <c r="S1845" i="1"/>
  <c r="N1846" i="1"/>
  <c r="R1846" i="1"/>
  <c r="S1846" i="1"/>
  <c r="N1847" i="1"/>
  <c r="R1847" i="1"/>
  <c r="S1847" i="1"/>
  <c r="N1848" i="1"/>
  <c r="R1848" i="1"/>
  <c r="S1848" i="1"/>
  <c r="N1849" i="1"/>
  <c r="R1849" i="1"/>
  <c r="S1849" i="1"/>
  <c r="N1850" i="1"/>
  <c r="R1850" i="1"/>
  <c r="S1850" i="1"/>
  <c r="N1851" i="1"/>
  <c r="R1851" i="1"/>
  <c r="S1851" i="1"/>
  <c r="N1852" i="1"/>
  <c r="R1852" i="1"/>
  <c r="S1852" i="1"/>
  <c r="N1853" i="1"/>
  <c r="R1853" i="1"/>
  <c r="S1853" i="1"/>
  <c r="N1854" i="1"/>
  <c r="R1854" i="1"/>
  <c r="S1854" i="1"/>
  <c r="N1855" i="1"/>
  <c r="R1855" i="1"/>
  <c r="S1855" i="1"/>
  <c r="N1856" i="1"/>
  <c r="R1856" i="1"/>
  <c r="S1856" i="1"/>
  <c r="N1857" i="1"/>
  <c r="R1857" i="1"/>
  <c r="S1857" i="1"/>
  <c r="N1858" i="1"/>
  <c r="R1858" i="1"/>
  <c r="S1858" i="1"/>
  <c r="N1859" i="1"/>
  <c r="R1859" i="1"/>
  <c r="S1859" i="1"/>
  <c r="N1860" i="1"/>
  <c r="R1860" i="1"/>
  <c r="S1860" i="1"/>
  <c r="N1861" i="1"/>
  <c r="R1861" i="1"/>
  <c r="S1861" i="1"/>
  <c r="N1862" i="1"/>
  <c r="R1862" i="1"/>
  <c r="S1862" i="1"/>
  <c r="N1863" i="1"/>
  <c r="R1863" i="1"/>
  <c r="S1863" i="1"/>
  <c r="N1864" i="1"/>
  <c r="R1864" i="1"/>
  <c r="S1864" i="1"/>
  <c r="N1865" i="1"/>
  <c r="R1865" i="1"/>
  <c r="S1865" i="1"/>
  <c r="N1866" i="1"/>
  <c r="R1866" i="1"/>
  <c r="S1866" i="1"/>
  <c r="N1867" i="1"/>
  <c r="R1867" i="1"/>
  <c r="S1867" i="1"/>
  <c r="N1868" i="1"/>
  <c r="R1868" i="1"/>
  <c r="S1868" i="1"/>
  <c r="N1869" i="1"/>
  <c r="R1869" i="1"/>
  <c r="S1869" i="1"/>
  <c r="N1870" i="1"/>
  <c r="R1870" i="1"/>
  <c r="S1870" i="1"/>
  <c r="N1871" i="1"/>
  <c r="R1871" i="1"/>
  <c r="S1871" i="1"/>
  <c r="N1872" i="1"/>
  <c r="R1872" i="1"/>
  <c r="S1872" i="1"/>
  <c r="N1873" i="1"/>
  <c r="R1873" i="1"/>
  <c r="S1873" i="1"/>
  <c r="N1874" i="1"/>
  <c r="R1874" i="1"/>
  <c r="S1874" i="1"/>
  <c r="N1875" i="1"/>
  <c r="R1875" i="1"/>
  <c r="S1875" i="1"/>
  <c r="N1876" i="1"/>
  <c r="R1876" i="1"/>
  <c r="S1876" i="1"/>
  <c r="N1877" i="1"/>
  <c r="R1877" i="1"/>
  <c r="S1877" i="1"/>
  <c r="N1878" i="1"/>
  <c r="R1878" i="1"/>
  <c r="S1878" i="1"/>
  <c r="N1879" i="1"/>
  <c r="R1879" i="1"/>
  <c r="S1879" i="1"/>
  <c r="N1880" i="1"/>
  <c r="R1880" i="1"/>
  <c r="S1880" i="1"/>
  <c r="N1881" i="1"/>
  <c r="R1881" i="1"/>
  <c r="S1881" i="1"/>
  <c r="N1882" i="1"/>
  <c r="R1882" i="1"/>
  <c r="S1882" i="1"/>
  <c r="N1883" i="1"/>
  <c r="R1883" i="1"/>
  <c r="S1883" i="1"/>
  <c r="N1884" i="1"/>
  <c r="R1884" i="1"/>
  <c r="S1884" i="1"/>
  <c r="N1885" i="1"/>
  <c r="R1885" i="1"/>
  <c r="S1885" i="1"/>
  <c r="N1886" i="1"/>
  <c r="R1886" i="1"/>
  <c r="S1886" i="1"/>
  <c r="N1887" i="1"/>
  <c r="R1887" i="1"/>
  <c r="S1887" i="1"/>
  <c r="N1888" i="1"/>
  <c r="R1888" i="1"/>
  <c r="S1888" i="1"/>
  <c r="N1889" i="1"/>
  <c r="R1889" i="1"/>
  <c r="S1889" i="1"/>
  <c r="N1890" i="1"/>
  <c r="R1890" i="1"/>
  <c r="S1890" i="1"/>
  <c r="N1891" i="1"/>
  <c r="R1891" i="1"/>
  <c r="S1891" i="1"/>
  <c r="N1892" i="1"/>
  <c r="R1892" i="1"/>
  <c r="S1892" i="1"/>
  <c r="N1893" i="1"/>
  <c r="R1893" i="1"/>
  <c r="S1893" i="1"/>
  <c r="N1894" i="1"/>
  <c r="R1894" i="1"/>
  <c r="S1894" i="1"/>
  <c r="N1895" i="1"/>
  <c r="R1895" i="1"/>
  <c r="S1895" i="1"/>
  <c r="N1896" i="1"/>
  <c r="R1896" i="1"/>
  <c r="S1896" i="1"/>
  <c r="N1897" i="1"/>
  <c r="R1897" i="1"/>
  <c r="S1897" i="1"/>
  <c r="N1898" i="1"/>
  <c r="R1898" i="1"/>
  <c r="S1898" i="1"/>
  <c r="N1899" i="1"/>
  <c r="R1899" i="1"/>
  <c r="S1899" i="1"/>
  <c r="N1900" i="1"/>
  <c r="R1900" i="1"/>
  <c r="S1900" i="1"/>
  <c r="N1901" i="1"/>
  <c r="R1901" i="1"/>
  <c r="S1901" i="1"/>
  <c r="N1902" i="1"/>
  <c r="R1902" i="1"/>
  <c r="S1902" i="1"/>
  <c r="N1903" i="1"/>
  <c r="R1903" i="1"/>
  <c r="S1903" i="1"/>
  <c r="N1904" i="1"/>
  <c r="R1904" i="1"/>
  <c r="S1904" i="1"/>
  <c r="N1905" i="1"/>
  <c r="R1905" i="1"/>
  <c r="S1905" i="1"/>
  <c r="N1906" i="1"/>
  <c r="R1906" i="1"/>
  <c r="S1906" i="1"/>
  <c r="N1907" i="1"/>
  <c r="R1907" i="1"/>
  <c r="S1907" i="1"/>
  <c r="N1908" i="1"/>
  <c r="R1908" i="1"/>
  <c r="S1908" i="1"/>
  <c r="N1909" i="1"/>
  <c r="R1909" i="1"/>
  <c r="S1909" i="1"/>
  <c r="N1910" i="1"/>
  <c r="R1910" i="1"/>
  <c r="S1910" i="1"/>
  <c r="N1911" i="1"/>
  <c r="R1911" i="1"/>
  <c r="S1911" i="1"/>
  <c r="N1912" i="1"/>
  <c r="S1912" i="1"/>
  <c r="N1913" i="1"/>
  <c r="R1913" i="1"/>
  <c r="S1913" i="1"/>
  <c r="N1914" i="1"/>
  <c r="R1914" i="1"/>
  <c r="S1914" i="1"/>
  <c r="N1915" i="1"/>
  <c r="R1915" i="1"/>
  <c r="S1915" i="1"/>
  <c r="N1916" i="1"/>
  <c r="R1916" i="1"/>
  <c r="S1916" i="1"/>
  <c r="N1917" i="1"/>
  <c r="R1917" i="1"/>
  <c r="S1917" i="1"/>
  <c r="N1918" i="1"/>
  <c r="R1918" i="1"/>
  <c r="S1918" i="1"/>
  <c r="N1919" i="1"/>
  <c r="R1919" i="1"/>
  <c r="S1919" i="1"/>
  <c r="N1920" i="1"/>
  <c r="R1920" i="1"/>
  <c r="S1920" i="1"/>
  <c r="N1921" i="1"/>
  <c r="R1921" i="1"/>
  <c r="S1921" i="1"/>
  <c r="N1922" i="1"/>
  <c r="R1922" i="1"/>
  <c r="S1922" i="1"/>
  <c r="N1923" i="1"/>
  <c r="R1923" i="1"/>
  <c r="S1923" i="1"/>
  <c r="N1924" i="1"/>
  <c r="R1924" i="1"/>
  <c r="S1924" i="1"/>
  <c r="N1925" i="1"/>
  <c r="R1925" i="1"/>
  <c r="S1925" i="1"/>
  <c r="N1926" i="1"/>
  <c r="R1926" i="1"/>
  <c r="S1926" i="1"/>
  <c r="N1927" i="1"/>
  <c r="R1927" i="1"/>
  <c r="S1927" i="1"/>
  <c r="N1928" i="1"/>
  <c r="R1928" i="1"/>
  <c r="S1928" i="1"/>
  <c r="N1929" i="1"/>
  <c r="R1929" i="1"/>
  <c r="S1929" i="1"/>
  <c r="N1930" i="1"/>
  <c r="R1930" i="1"/>
  <c r="S1930" i="1"/>
  <c r="N1931" i="1"/>
  <c r="R1931" i="1"/>
  <c r="S1931" i="1"/>
  <c r="N1932" i="1"/>
  <c r="R1932" i="1"/>
  <c r="S1932" i="1"/>
  <c r="N1933" i="1"/>
  <c r="R1933" i="1"/>
  <c r="S1933" i="1"/>
  <c r="N1934" i="1"/>
  <c r="R1934" i="1"/>
  <c r="S1934" i="1"/>
  <c r="N1935" i="1"/>
  <c r="R1935" i="1"/>
  <c r="S1935" i="1"/>
  <c r="N1936" i="1"/>
  <c r="R1936" i="1"/>
  <c r="S1936" i="1"/>
  <c r="N1937" i="1"/>
  <c r="R1937" i="1"/>
  <c r="S1937" i="1"/>
  <c r="N1938" i="1"/>
  <c r="R1938" i="1"/>
  <c r="S1938" i="1"/>
  <c r="N1939" i="1"/>
  <c r="R1939" i="1"/>
  <c r="S1939" i="1"/>
  <c r="N1940" i="1"/>
  <c r="R1940" i="1"/>
  <c r="S1940" i="1"/>
  <c r="N1941" i="1"/>
  <c r="R1941" i="1"/>
  <c r="S1941" i="1"/>
  <c r="N1942" i="1"/>
  <c r="R1942" i="1"/>
  <c r="S1942" i="1"/>
  <c r="N1943" i="1"/>
  <c r="R1943" i="1"/>
  <c r="S1943" i="1"/>
  <c r="N1944" i="1"/>
  <c r="S1944" i="1"/>
  <c r="N1945" i="1"/>
  <c r="R1945" i="1"/>
  <c r="S1945" i="1"/>
  <c r="N1946" i="1"/>
  <c r="R1946" i="1"/>
  <c r="S1946" i="1"/>
  <c r="N1947" i="1"/>
  <c r="R1947" i="1"/>
  <c r="S1947" i="1"/>
  <c r="N1948" i="1"/>
  <c r="R1948" i="1"/>
  <c r="S1948" i="1"/>
  <c r="N1949" i="1"/>
  <c r="R1949" i="1"/>
  <c r="S1949" i="1"/>
  <c r="N1950" i="1"/>
  <c r="R1950" i="1"/>
  <c r="S1950" i="1"/>
  <c r="N1951" i="1"/>
  <c r="R1951" i="1"/>
  <c r="S1951" i="1"/>
  <c r="N1952" i="1"/>
  <c r="R1952" i="1"/>
  <c r="S1952" i="1"/>
  <c r="N1953" i="1"/>
  <c r="R1953" i="1"/>
  <c r="S1953" i="1"/>
  <c r="N1954" i="1"/>
  <c r="R1954" i="1"/>
  <c r="S1954" i="1"/>
  <c r="N1955" i="1"/>
  <c r="R1955" i="1"/>
  <c r="S1955" i="1"/>
  <c r="N1956" i="1"/>
  <c r="R1956" i="1"/>
  <c r="S1956" i="1"/>
  <c r="N1957" i="1"/>
  <c r="R1957" i="1"/>
  <c r="S1957" i="1"/>
  <c r="N1958" i="1"/>
  <c r="R1958" i="1"/>
  <c r="S1958" i="1"/>
  <c r="N1959" i="1"/>
  <c r="R1959" i="1"/>
  <c r="S1959" i="1"/>
  <c r="N1960" i="1"/>
  <c r="R1960" i="1"/>
  <c r="S1960" i="1"/>
  <c r="N1961" i="1"/>
  <c r="R1961" i="1"/>
  <c r="S1961" i="1"/>
  <c r="N1962" i="1"/>
  <c r="R1962" i="1"/>
  <c r="S1962" i="1"/>
  <c r="N1963" i="1"/>
  <c r="R1963" i="1"/>
  <c r="S1963" i="1"/>
  <c r="N1964" i="1"/>
  <c r="R1964" i="1"/>
  <c r="S1964" i="1"/>
  <c r="N1965" i="1"/>
  <c r="R1965" i="1"/>
  <c r="S1965" i="1"/>
  <c r="N1966" i="1"/>
  <c r="R1966" i="1"/>
  <c r="S1966" i="1"/>
  <c r="N1967" i="1"/>
  <c r="R1967" i="1"/>
  <c r="S1967" i="1"/>
  <c r="N1968" i="1"/>
  <c r="R1968" i="1"/>
  <c r="S1968" i="1"/>
  <c r="N1969" i="1"/>
  <c r="R1969" i="1"/>
  <c r="S1969" i="1"/>
  <c r="N1970" i="1"/>
  <c r="R1970" i="1"/>
  <c r="S1970" i="1"/>
  <c r="N1971" i="1"/>
  <c r="R1971" i="1"/>
  <c r="S1971" i="1"/>
  <c r="N1972" i="1"/>
  <c r="R1972" i="1"/>
  <c r="S1972" i="1"/>
  <c r="N1973" i="1"/>
  <c r="R1973" i="1"/>
  <c r="S1973" i="1"/>
  <c r="N1974" i="1"/>
  <c r="R1974" i="1"/>
  <c r="S1974" i="1"/>
  <c r="N1975" i="1"/>
  <c r="R1975" i="1"/>
  <c r="S1975" i="1"/>
  <c r="N1976" i="1"/>
  <c r="R1976" i="1"/>
  <c r="S1976" i="1"/>
  <c r="N1977" i="1"/>
  <c r="R1977" i="1"/>
  <c r="S1977" i="1"/>
  <c r="N1978" i="1"/>
  <c r="R1978" i="1"/>
  <c r="S1978" i="1"/>
  <c r="N1979" i="1"/>
  <c r="R1979" i="1"/>
  <c r="S1979" i="1"/>
  <c r="N1980" i="1"/>
  <c r="R1980" i="1"/>
  <c r="S1980" i="1"/>
  <c r="N1981" i="1"/>
  <c r="R1981" i="1"/>
  <c r="S1981" i="1"/>
  <c r="N1982" i="1"/>
  <c r="R1982" i="1"/>
  <c r="S1982" i="1"/>
  <c r="N1983" i="1"/>
  <c r="R1983" i="1"/>
  <c r="S1983" i="1"/>
  <c r="N1984" i="1"/>
  <c r="R1984" i="1"/>
  <c r="S1984" i="1"/>
  <c r="N1985" i="1"/>
  <c r="R1985" i="1"/>
  <c r="S1985" i="1"/>
  <c r="N1986" i="1"/>
  <c r="R1986" i="1"/>
  <c r="S1986" i="1"/>
  <c r="N1987" i="1"/>
  <c r="R1987" i="1"/>
  <c r="S1987" i="1"/>
  <c r="N1988" i="1"/>
  <c r="R1988" i="1"/>
  <c r="S1988" i="1"/>
  <c r="N1989" i="1"/>
  <c r="R1989" i="1"/>
  <c r="S1989" i="1"/>
  <c r="N1990" i="1"/>
  <c r="R1990" i="1"/>
  <c r="S1990" i="1"/>
  <c r="N1991" i="1"/>
  <c r="R1991" i="1"/>
  <c r="S1991" i="1"/>
  <c r="N1992" i="1"/>
  <c r="R1992" i="1"/>
  <c r="S1992" i="1"/>
  <c r="N1993" i="1"/>
  <c r="R1993" i="1"/>
  <c r="S1993" i="1"/>
  <c r="N1994" i="1"/>
  <c r="R1994" i="1"/>
  <c r="S1994" i="1"/>
  <c r="N1995" i="1"/>
  <c r="R1995" i="1"/>
  <c r="S1995" i="1"/>
  <c r="N1996" i="1"/>
  <c r="R1996" i="1"/>
  <c r="S1996" i="1"/>
  <c r="N1997" i="1"/>
  <c r="R1997" i="1"/>
  <c r="S1997" i="1"/>
  <c r="N1998" i="1"/>
  <c r="R1998" i="1"/>
  <c r="S1998" i="1"/>
  <c r="N1999" i="1"/>
  <c r="R1999" i="1"/>
  <c r="S1999" i="1"/>
  <c r="N2000" i="1"/>
  <c r="R2000" i="1"/>
  <c r="S2000" i="1"/>
  <c r="N2001" i="1"/>
  <c r="R2001" i="1"/>
  <c r="S2001" i="1"/>
  <c r="N2002" i="1"/>
  <c r="R2002" i="1"/>
  <c r="S2002" i="1"/>
  <c r="N2003" i="1"/>
  <c r="R2003" i="1"/>
  <c r="S2003" i="1"/>
  <c r="N2004" i="1"/>
  <c r="R2004" i="1"/>
  <c r="S2004" i="1"/>
  <c r="N2005" i="1"/>
  <c r="R2005" i="1"/>
  <c r="S2005" i="1"/>
  <c r="N2006" i="1"/>
  <c r="R2006" i="1"/>
  <c r="S2006" i="1"/>
  <c r="N2007" i="1"/>
  <c r="R2007" i="1"/>
  <c r="S2007" i="1"/>
  <c r="N2008" i="1"/>
  <c r="R2008" i="1"/>
  <c r="S2008" i="1"/>
  <c r="N2009" i="1"/>
  <c r="R2009" i="1"/>
  <c r="S2009" i="1"/>
  <c r="N2010" i="1"/>
  <c r="R2010" i="1"/>
  <c r="S2010" i="1"/>
  <c r="N2011" i="1"/>
  <c r="R2011" i="1"/>
  <c r="S2011" i="1"/>
  <c r="N2012" i="1"/>
  <c r="R2012" i="1"/>
  <c r="S2012" i="1"/>
  <c r="N2013" i="1"/>
  <c r="R2013" i="1"/>
  <c r="S2013" i="1"/>
  <c r="N2014" i="1"/>
  <c r="R2014" i="1"/>
  <c r="S2014" i="1"/>
  <c r="N2015" i="1"/>
  <c r="R2015" i="1"/>
  <c r="S2015" i="1"/>
  <c r="N2016" i="1"/>
  <c r="R2016" i="1"/>
  <c r="S2016" i="1"/>
  <c r="N2017" i="1"/>
  <c r="R2017" i="1"/>
  <c r="S2017" i="1"/>
  <c r="N2018" i="1"/>
  <c r="R2018" i="1"/>
  <c r="S2018" i="1"/>
  <c r="N2019" i="1"/>
  <c r="R2019" i="1"/>
  <c r="S2019" i="1"/>
  <c r="N2020" i="1"/>
  <c r="R2020" i="1"/>
  <c r="S2020" i="1"/>
  <c r="N2021" i="1"/>
  <c r="R2021" i="1"/>
  <c r="S2021" i="1"/>
  <c r="N2022" i="1"/>
  <c r="R2022" i="1"/>
  <c r="S2022" i="1"/>
  <c r="N2023" i="1"/>
  <c r="R2023" i="1"/>
  <c r="S2023" i="1"/>
  <c r="N2024" i="1"/>
  <c r="R2024" i="1"/>
  <c r="S2024" i="1"/>
  <c r="N2025" i="1"/>
  <c r="R2025" i="1"/>
  <c r="S2025" i="1"/>
  <c r="N2026" i="1"/>
  <c r="R2026" i="1"/>
  <c r="S2026" i="1"/>
  <c r="N2027" i="1"/>
  <c r="R2027" i="1"/>
  <c r="S2027" i="1"/>
  <c r="N2028" i="1"/>
  <c r="R2028" i="1"/>
  <c r="S2028" i="1"/>
  <c r="N2029" i="1"/>
  <c r="R2029" i="1"/>
  <c r="S2029" i="1"/>
  <c r="N2030" i="1"/>
  <c r="R2030" i="1"/>
  <c r="S2030" i="1"/>
  <c r="N2031" i="1"/>
  <c r="R2031" i="1"/>
  <c r="S2031" i="1"/>
  <c r="N2032" i="1"/>
  <c r="R2032" i="1"/>
  <c r="S2032" i="1"/>
  <c r="N2033" i="1"/>
  <c r="R2033" i="1"/>
  <c r="S2033" i="1"/>
  <c r="N2034" i="1"/>
  <c r="R2034" i="1"/>
  <c r="S2034" i="1"/>
  <c r="N2035" i="1"/>
  <c r="R2035" i="1"/>
  <c r="S2035" i="1"/>
  <c r="N2036" i="1"/>
  <c r="R2036" i="1"/>
  <c r="S2036" i="1"/>
  <c r="N2037" i="1"/>
  <c r="R2037" i="1"/>
  <c r="S2037" i="1"/>
  <c r="N2038" i="1"/>
  <c r="R2038" i="1"/>
  <c r="S2038" i="1"/>
  <c r="N2039" i="1"/>
  <c r="R2039" i="1"/>
  <c r="S2039" i="1"/>
  <c r="N2040" i="1"/>
  <c r="R2040" i="1"/>
  <c r="S2040" i="1"/>
  <c r="N2041" i="1"/>
  <c r="R2041" i="1"/>
  <c r="S2041" i="1"/>
  <c r="N2042" i="1"/>
  <c r="R2042" i="1"/>
  <c r="S2042" i="1"/>
  <c r="N2043" i="1"/>
  <c r="R2043" i="1"/>
  <c r="S2043" i="1"/>
  <c r="N2044" i="1"/>
  <c r="R2044" i="1"/>
  <c r="S2044" i="1"/>
  <c r="N2045" i="1"/>
  <c r="R2045" i="1"/>
  <c r="S2045" i="1"/>
  <c r="N2046" i="1"/>
  <c r="R2046" i="1"/>
  <c r="S2046" i="1"/>
  <c r="N2047" i="1"/>
  <c r="R2047" i="1"/>
  <c r="S2047" i="1"/>
  <c r="N2048" i="1"/>
  <c r="R2048" i="1"/>
  <c r="S2048" i="1"/>
  <c r="N2049" i="1"/>
  <c r="R2049" i="1"/>
  <c r="S2049" i="1"/>
  <c r="N2050" i="1"/>
  <c r="R2050" i="1"/>
  <c r="S2050" i="1"/>
  <c r="N2051" i="1"/>
  <c r="R2051" i="1"/>
  <c r="S2051" i="1"/>
  <c r="N2052" i="1"/>
  <c r="R2052" i="1"/>
  <c r="S2052" i="1"/>
  <c r="N2053" i="1"/>
  <c r="R2053" i="1"/>
  <c r="S2053" i="1"/>
  <c r="N2054" i="1"/>
  <c r="R2054" i="1"/>
  <c r="S2054" i="1"/>
  <c r="N2055" i="1"/>
  <c r="R2055" i="1"/>
  <c r="S2055" i="1"/>
  <c r="N2056" i="1"/>
  <c r="R2056" i="1"/>
  <c r="S2056" i="1"/>
  <c r="N2057" i="1"/>
  <c r="R2057" i="1"/>
  <c r="S2057" i="1"/>
  <c r="N2058" i="1"/>
  <c r="S2058" i="1"/>
  <c r="N2059" i="1"/>
  <c r="R2059" i="1"/>
  <c r="S2059" i="1"/>
  <c r="N2060" i="1"/>
  <c r="R2060" i="1"/>
  <c r="S2060" i="1"/>
  <c r="N2061" i="1"/>
  <c r="R2061" i="1"/>
  <c r="S2061" i="1"/>
  <c r="N2062" i="1"/>
  <c r="R2062" i="1"/>
  <c r="S2062" i="1"/>
  <c r="N2063" i="1"/>
  <c r="R2063" i="1"/>
  <c r="S2063" i="1"/>
  <c r="N2064" i="1"/>
  <c r="R2064" i="1"/>
  <c r="S2064" i="1"/>
  <c r="N2065" i="1"/>
  <c r="R2065" i="1"/>
  <c r="S2065" i="1"/>
  <c r="N2066" i="1"/>
  <c r="R2066" i="1"/>
  <c r="S2066" i="1"/>
  <c r="N2067" i="1"/>
  <c r="R2067" i="1"/>
  <c r="S2067" i="1"/>
  <c r="N2068" i="1"/>
  <c r="R2068" i="1"/>
  <c r="S2068" i="1"/>
  <c r="N2069" i="1"/>
  <c r="R2069" i="1"/>
  <c r="S2069" i="1"/>
  <c r="N2070" i="1"/>
  <c r="R2070" i="1"/>
  <c r="S2070" i="1"/>
  <c r="N2071" i="1"/>
  <c r="N2072" i="1"/>
  <c r="R2072" i="1"/>
  <c r="S2072" i="1"/>
  <c r="N2073" i="1"/>
  <c r="R2073" i="1"/>
  <c r="S2073" i="1"/>
  <c r="N2074" i="1"/>
  <c r="S2074" i="1"/>
  <c r="N2075" i="1"/>
  <c r="S2075" i="1"/>
  <c r="N2076" i="1"/>
  <c r="S2076" i="1"/>
  <c r="N2077" i="1"/>
  <c r="S2077" i="1"/>
  <c r="N2078" i="1"/>
  <c r="S2078" i="1"/>
  <c r="N2079" i="1"/>
  <c r="R2079" i="1"/>
  <c r="S2079" i="1"/>
  <c r="N2080" i="1"/>
  <c r="S2080" i="1"/>
  <c r="N2081" i="1"/>
  <c r="S2081" i="1"/>
  <c r="N2082" i="1"/>
  <c r="S2082" i="1"/>
  <c r="N2083" i="1"/>
  <c r="S2083" i="1"/>
  <c r="N2084" i="1"/>
  <c r="S2084" i="1"/>
  <c r="N2085" i="1"/>
  <c r="S2085" i="1"/>
  <c r="N2086" i="1"/>
  <c r="S2086" i="1"/>
  <c r="N2087" i="1"/>
  <c r="R2087" i="1"/>
  <c r="S2087" i="1"/>
  <c r="N2088" i="1"/>
  <c r="R2088" i="1"/>
  <c r="S2088" i="1"/>
  <c r="N2089" i="1"/>
  <c r="R2089" i="1"/>
  <c r="S2089" i="1"/>
  <c r="N2090" i="1"/>
  <c r="R2090" i="1"/>
  <c r="S2090" i="1"/>
  <c r="N2091" i="1"/>
  <c r="R2091" i="1"/>
  <c r="S2091" i="1"/>
  <c r="N2092" i="1"/>
  <c r="R2092" i="1"/>
  <c r="S2092" i="1"/>
  <c r="N2093" i="1"/>
  <c r="R2093" i="1"/>
  <c r="S2093" i="1"/>
  <c r="N2094" i="1"/>
  <c r="R2094" i="1"/>
  <c r="S2094" i="1"/>
  <c r="N2095" i="1"/>
  <c r="R2095" i="1"/>
  <c r="S2095" i="1"/>
  <c r="N2096" i="1"/>
  <c r="R2096" i="1"/>
  <c r="S2096" i="1"/>
  <c r="N2097" i="1"/>
  <c r="R2097" i="1"/>
  <c r="S2097" i="1"/>
  <c r="N2098" i="1"/>
  <c r="R2098" i="1"/>
  <c r="S2098" i="1"/>
  <c r="N2099" i="1"/>
  <c r="R2099" i="1"/>
  <c r="S2099" i="1"/>
  <c r="N2100" i="1"/>
  <c r="R2100" i="1"/>
  <c r="S2100" i="1"/>
  <c r="N2101" i="1"/>
  <c r="R2101" i="1"/>
  <c r="S2101" i="1"/>
  <c r="N2102" i="1"/>
  <c r="R2102" i="1"/>
  <c r="S2102" i="1"/>
  <c r="N2103" i="1"/>
  <c r="R2103" i="1"/>
  <c r="S2103" i="1"/>
  <c r="N2104" i="1"/>
  <c r="R2104" i="1"/>
  <c r="S2104" i="1"/>
  <c r="N2105" i="1"/>
  <c r="R2105" i="1"/>
  <c r="S2105" i="1"/>
  <c r="N2106" i="1"/>
  <c r="R2106" i="1"/>
  <c r="S2106" i="1"/>
  <c r="N2107" i="1"/>
  <c r="R2107" i="1"/>
  <c r="S2107" i="1"/>
  <c r="N2108" i="1"/>
  <c r="R2108" i="1"/>
  <c r="S2108" i="1"/>
  <c r="N2109" i="1"/>
  <c r="R2109" i="1"/>
  <c r="S2109" i="1"/>
  <c r="N2110" i="1"/>
  <c r="R2110" i="1"/>
  <c r="S2110" i="1"/>
  <c r="N2111" i="1"/>
  <c r="R2111" i="1"/>
  <c r="S2111" i="1"/>
  <c r="N2112" i="1"/>
  <c r="R2112" i="1"/>
  <c r="S2112" i="1"/>
  <c r="N2113" i="1"/>
  <c r="R2113" i="1"/>
  <c r="S2113" i="1"/>
  <c r="N2114" i="1"/>
  <c r="R2114" i="1"/>
  <c r="S2114" i="1"/>
  <c r="N2115" i="1"/>
  <c r="R2115" i="1"/>
  <c r="S2115" i="1"/>
  <c r="N2116" i="1"/>
  <c r="R2116" i="1"/>
  <c r="S2116" i="1"/>
  <c r="N2117" i="1"/>
  <c r="R2117" i="1"/>
  <c r="S2117" i="1"/>
  <c r="N2118" i="1"/>
  <c r="R2118" i="1"/>
  <c r="S2118" i="1"/>
  <c r="N2119" i="1"/>
  <c r="R2119" i="1"/>
  <c r="S2119" i="1"/>
  <c r="N2120" i="1"/>
  <c r="R2120" i="1"/>
  <c r="S2120" i="1"/>
  <c r="N2121" i="1"/>
  <c r="R2121" i="1"/>
  <c r="S2121" i="1"/>
  <c r="N2122" i="1"/>
  <c r="R2122" i="1"/>
  <c r="S2122" i="1"/>
  <c r="N2123" i="1"/>
  <c r="S2123" i="1"/>
  <c r="N2124" i="1"/>
  <c r="R2124" i="1"/>
  <c r="S2124" i="1"/>
  <c r="N2125" i="1"/>
  <c r="R2125" i="1"/>
  <c r="S2125" i="1"/>
  <c r="N2126" i="1"/>
  <c r="R2126" i="1"/>
  <c r="S2126" i="1"/>
  <c r="N2127" i="1"/>
  <c r="R2127" i="1"/>
  <c r="S2127" i="1"/>
  <c r="N2128" i="1"/>
  <c r="R2128" i="1"/>
  <c r="S2128" i="1"/>
  <c r="N2129" i="1"/>
  <c r="R2129" i="1"/>
  <c r="S2129" i="1"/>
  <c r="N2130" i="1"/>
  <c r="R2130" i="1"/>
  <c r="S2130" i="1"/>
  <c r="N2131" i="1"/>
  <c r="R2131" i="1"/>
  <c r="S2131" i="1"/>
  <c r="N2132" i="1"/>
  <c r="R2132" i="1"/>
  <c r="S2132" i="1"/>
  <c r="N2133" i="1"/>
  <c r="R2133" i="1"/>
  <c r="S2133" i="1"/>
  <c r="N2134" i="1"/>
  <c r="R2134" i="1"/>
  <c r="S2134" i="1"/>
  <c r="N2135" i="1"/>
  <c r="R2135" i="1"/>
  <c r="S2135" i="1"/>
  <c r="N2136" i="1"/>
  <c r="R2136" i="1"/>
  <c r="S2136" i="1"/>
  <c r="N2137" i="1"/>
  <c r="R2137" i="1"/>
  <c r="S2137" i="1"/>
  <c r="N2138" i="1"/>
  <c r="S2138" i="1"/>
  <c r="N2139" i="1"/>
  <c r="R2139" i="1"/>
  <c r="S2139" i="1"/>
  <c r="N2140" i="1"/>
  <c r="R2140" i="1"/>
  <c r="S2140" i="1"/>
  <c r="N2141" i="1"/>
  <c r="R2141" i="1"/>
  <c r="S2141" i="1"/>
  <c r="N2142" i="1"/>
  <c r="R2142" i="1"/>
  <c r="S2142" i="1"/>
  <c r="N2143" i="1"/>
  <c r="R2143" i="1"/>
  <c r="S2143" i="1"/>
  <c r="N2144" i="1"/>
  <c r="R2144" i="1"/>
  <c r="S2144" i="1"/>
  <c r="N2145" i="1"/>
  <c r="R2145" i="1"/>
  <c r="S2145" i="1"/>
  <c r="N2146" i="1"/>
  <c r="R2146" i="1"/>
  <c r="S2146" i="1"/>
  <c r="N2147" i="1"/>
  <c r="R2147" i="1"/>
  <c r="S2147" i="1"/>
  <c r="N2148" i="1"/>
  <c r="R2148" i="1"/>
  <c r="S2148" i="1"/>
  <c r="N2149" i="1"/>
  <c r="R2149" i="1"/>
  <c r="S2149" i="1"/>
  <c r="N2150" i="1"/>
  <c r="R2150" i="1"/>
  <c r="S2150" i="1"/>
  <c r="N2151" i="1"/>
  <c r="R2151" i="1"/>
  <c r="S2151" i="1"/>
  <c r="N2152" i="1"/>
  <c r="R2152" i="1"/>
  <c r="S2152" i="1"/>
  <c r="N2153" i="1"/>
  <c r="R2153" i="1"/>
  <c r="S2153" i="1"/>
  <c r="N2154" i="1"/>
  <c r="R2154" i="1"/>
  <c r="S2154" i="1"/>
  <c r="N2155" i="1"/>
  <c r="R2155" i="1"/>
  <c r="S2155" i="1"/>
  <c r="N2156" i="1"/>
  <c r="R2156" i="1"/>
  <c r="S2156" i="1"/>
  <c r="N2157" i="1"/>
  <c r="R2157" i="1"/>
  <c r="S2157" i="1"/>
  <c r="N2158" i="1"/>
  <c r="R2158" i="1"/>
  <c r="S2158" i="1"/>
  <c r="N2159" i="1"/>
  <c r="R2159" i="1"/>
  <c r="S2159" i="1"/>
  <c r="N2160" i="1"/>
  <c r="R2160" i="1"/>
  <c r="S2160" i="1"/>
  <c r="N2161" i="1"/>
  <c r="R2161" i="1"/>
  <c r="S2161" i="1"/>
  <c r="N2162" i="1"/>
  <c r="R2162" i="1"/>
  <c r="S2162" i="1"/>
  <c r="N2163" i="1"/>
  <c r="R2163" i="1"/>
  <c r="S2163" i="1"/>
  <c r="N2164" i="1"/>
  <c r="R2164" i="1"/>
  <c r="S2164" i="1"/>
  <c r="N2165" i="1"/>
  <c r="R2165" i="1"/>
  <c r="S2165" i="1"/>
  <c r="N2166" i="1"/>
  <c r="R2166" i="1"/>
  <c r="S2166" i="1"/>
  <c r="N2167" i="1"/>
  <c r="R2167" i="1"/>
  <c r="S2167" i="1"/>
  <c r="N2168" i="1"/>
  <c r="R2168" i="1"/>
  <c r="S2168" i="1"/>
  <c r="N2169" i="1"/>
  <c r="R2169" i="1"/>
  <c r="S2169" i="1"/>
  <c r="N2170" i="1"/>
  <c r="R2170" i="1"/>
  <c r="S2170" i="1"/>
  <c r="N2171" i="1"/>
  <c r="R2171" i="1"/>
  <c r="S2171" i="1"/>
  <c r="N2172" i="1"/>
  <c r="R2172" i="1"/>
  <c r="S2172" i="1"/>
  <c r="N2173" i="1"/>
  <c r="R2173" i="1"/>
  <c r="S2173" i="1"/>
  <c r="N2174" i="1"/>
  <c r="R2174" i="1"/>
  <c r="S2174" i="1"/>
  <c r="N2175" i="1"/>
  <c r="R2175" i="1"/>
  <c r="S2175" i="1"/>
  <c r="N2176" i="1"/>
  <c r="R2176" i="1"/>
  <c r="S2176" i="1"/>
  <c r="N2177" i="1"/>
  <c r="R2177" i="1"/>
  <c r="S2177" i="1"/>
  <c r="N2178" i="1"/>
  <c r="R2178" i="1"/>
  <c r="S2178" i="1"/>
  <c r="N2179" i="1"/>
  <c r="R2179" i="1"/>
  <c r="S2179" i="1"/>
  <c r="N2180" i="1"/>
  <c r="R2180" i="1"/>
  <c r="S2180" i="1"/>
  <c r="N2181" i="1"/>
  <c r="R2181" i="1"/>
  <c r="S2181" i="1"/>
  <c r="N2182" i="1"/>
  <c r="R2182" i="1"/>
  <c r="S2182" i="1"/>
  <c r="N2183" i="1"/>
  <c r="R2183" i="1"/>
  <c r="S2183" i="1"/>
  <c r="N2184" i="1"/>
  <c r="R2184" i="1"/>
  <c r="S2184" i="1"/>
  <c r="N2185" i="1"/>
  <c r="R2185" i="1"/>
  <c r="S2185" i="1"/>
  <c r="N2186" i="1"/>
  <c r="R2186" i="1"/>
  <c r="S2186" i="1"/>
  <c r="N2187" i="1"/>
  <c r="R2187" i="1"/>
  <c r="S2187" i="1"/>
  <c r="N2188" i="1"/>
  <c r="R2188" i="1"/>
  <c r="S2188" i="1"/>
  <c r="N2189" i="1"/>
  <c r="R2189" i="1"/>
  <c r="S2189" i="1"/>
  <c r="N2190" i="1"/>
  <c r="R2190" i="1"/>
  <c r="S2190" i="1"/>
  <c r="N2191" i="1"/>
  <c r="R2191" i="1"/>
  <c r="S2191" i="1"/>
  <c r="N2192" i="1"/>
  <c r="R2192" i="1"/>
  <c r="S2192" i="1"/>
  <c r="N2193" i="1"/>
  <c r="R2193" i="1"/>
  <c r="S2193" i="1"/>
  <c r="N2194" i="1"/>
  <c r="R2194" i="1"/>
  <c r="S2194" i="1"/>
  <c r="N2195" i="1"/>
  <c r="R2195" i="1"/>
  <c r="S2195" i="1"/>
  <c r="N2196" i="1"/>
  <c r="R2196" i="1"/>
  <c r="S2196" i="1"/>
  <c r="N2197" i="1"/>
  <c r="R2197" i="1"/>
  <c r="S2197" i="1"/>
  <c r="N2198" i="1"/>
  <c r="R2198" i="1"/>
  <c r="S2198" i="1"/>
  <c r="N2199" i="1"/>
  <c r="R2199" i="1"/>
  <c r="S2199" i="1"/>
  <c r="N2200" i="1"/>
  <c r="R2200" i="1"/>
  <c r="S2200" i="1"/>
  <c r="N2201" i="1"/>
  <c r="R2201" i="1"/>
  <c r="S2201" i="1"/>
  <c r="N2202" i="1"/>
  <c r="R2202" i="1"/>
  <c r="S2202" i="1"/>
  <c r="N2203" i="1"/>
  <c r="R2203" i="1"/>
  <c r="S2203" i="1"/>
  <c r="N2204" i="1"/>
  <c r="R2204" i="1"/>
  <c r="S2204" i="1"/>
  <c r="N2205" i="1"/>
  <c r="R2205" i="1"/>
  <c r="S2205" i="1"/>
  <c r="N2206" i="1"/>
  <c r="R2206" i="1"/>
  <c r="S2206" i="1"/>
  <c r="N2207" i="1"/>
  <c r="R2207" i="1"/>
  <c r="S2207" i="1"/>
  <c r="N2208" i="1"/>
  <c r="R2208" i="1"/>
  <c r="S2208" i="1"/>
  <c r="N2209" i="1"/>
  <c r="R2209" i="1"/>
  <c r="S2209" i="1"/>
  <c r="N2210" i="1"/>
  <c r="R2210" i="1"/>
  <c r="S2210" i="1"/>
  <c r="N2211" i="1"/>
  <c r="R2211" i="1"/>
  <c r="S2211" i="1"/>
  <c r="N2212" i="1"/>
  <c r="R2212" i="1"/>
  <c r="S2212" i="1"/>
  <c r="N2213" i="1"/>
  <c r="R2213" i="1"/>
  <c r="S2213" i="1"/>
  <c r="N2214" i="1"/>
  <c r="R2214" i="1"/>
  <c r="S2214" i="1"/>
  <c r="N2215" i="1"/>
  <c r="R2215" i="1"/>
  <c r="S2215" i="1"/>
  <c r="N2216" i="1"/>
  <c r="R2216" i="1"/>
  <c r="S2216" i="1"/>
  <c r="N2217" i="1"/>
  <c r="R2217" i="1"/>
  <c r="S2217" i="1"/>
  <c r="N2218" i="1"/>
  <c r="R2218" i="1"/>
  <c r="S2218" i="1"/>
  <c r="N2219" i="1"/>
  <c r="R2219" i="1"/>
  <c r="S2219" i="1"/>
  <c r="N2220" i="1"/>
  <c r="R2220" i="1"/>
  <c r="S2220" i="1"/>
  <c r="N2221" i="1"/>
  <c r="R2221" i="1"/>
  <c r="S2221" i="1"/>
  <c r="N2222" i="1"/>
  <c r="R2222" i="1"/>
  <c r="S2222" i="1"/>
  <c r="N2223" i="1"/>
  <c r="R2223" i="1"/>
  <c r="S2223" i="1"/>
  <c r="N2224" i="1"/>
  <c r="R2224" i="1"/>
  <c r="S2224" i="1"/>
  <c r="N2225" i="1"/>
  <c r="R2225" i="1"/>
  <c r="S2225" i="1"/>
  <c r="N2226" i="1"/>
  <c r="R2226" i="1"/>
  <c r="S2226" i="1"/>
  <c r="N2227" i="1"/>
  <c r="R2227" i="1"/>
  <c r="S2227" i="1"/>
  <c r="N2228" i="1"/>
  <c r="R2228" i="1"/>
  <c r="S2228" i="1"/>
  <c r="N2229" i="1"/>
  <c r="R2229" i="1"/>
  <c r="S2229" i="1"/>
  <c r="N2230" i="1"/>
  <c r="R2230" i="1"/>
  <c r="S2230" i="1"/>
  <c r="N2231" i="1"/>
  <c r="R2231" i="1"/>
  <c r="S2231" i="1"/>
  <c r="N2232" i="1"/>
  <c r="R2232" i="1"/>
  <c r="S2232" i="1"/>
  <c r="N2233" i="1"/>
  <c r="R2233" i="1"/>
  <c r="S2233" i="1"/>
  <c r="N2234" i="1"/>
  <c r="R2234" i="1"/>
  <c r="S2234" i="1"/>
  <c r="N2235" i="1"/>
  <c r="R2235" i="1"/>
  <c r="S2235" i="1"/>
  <c r="N2236" i="1"/>
  <c r="R2236" i="1"/>
  <c r="S2236" i="1"/>
  <c r="N2237" i="1"/>
  <c r="R2237" i="1"/>
  <c r="S2237" i="1"/>
  <c r="N2238" i="1"/>
  <c r="R2238" i="1"/>
  <c r="S2238" i="1"/>
  <c r="N2239" i="1"/>
  <c r="R2239" i="1"/>
  <c r="S2239" i="1"/>
  <c r="N2240" i="1"/>
  <c r="R2240" i="1"/>
  <c r="S2240" i="1"/>
  <c r="N2241" i="1"/>
  <c r="R2241" i="1"/>
  <c r="S2241" i="1"/>
  <c r="N2242" i="1"/>
  <c r="R2242" i="1"/>
  <c r="S2242" i="1"/>
  <c r="N2243" i="1"/>
  <c r="R2243" i="1"/>
  <c r="S2243" i="1"/>
  <c r="N2244" i="1"/>
  <c r="R2244" i="1"/>
  <c r="S2244" i="1"/>
  <c r="N2245" i="1"/>
  <c r="R2245" i="1"/>
  <c r="S2245" i="1"/>
  <c r="N2246" i="1"/>
  <c r="R2246" i="1"/>
  <c r="S2246" i="1"/>
  <c r="N2247" i="1"/>
  <c r="R2247" i="1"/>
  <c r="S2247" i="1"/>
  <c r="N2248" i="1"/>
  <c r="R2248" i="1"/>
  <c r="S2248" i="1"/>
  <c r="N2249" i="1"/>
  <c r="R2249" i="1"/>
  <c r="S2249" i="1"/>
  <c r="N2250" i="1"/>
  <c r="R2250" i="1"/>
  <c r="S2250" i="1"/>
  <c r="N2251" i="1"/>
  <c r="R2251" i="1"/>
  <c r="S2251" i="1"/>
  <c r="N2252" i="1"/>
  <c r="R2252" i="1"/>
  <c r="S2252" i="1"/>
  <c r="N2253" i="1"/>
  <c r="R2253" i="1"/>
  <c r="S2253" i="1"/>
  <c r="N2254" i="1"/>
  <c r="R2254" i="1"/>
  <c r="S2254" i="1"/>
  <c r="N2255" i="1"/>
  <c r="R2255" i="1"/>
  <c r="S2255" i="1"/>
  <c r="N2256" i="1"/>
  <c r="R2256" i="1"/>
  <c r="S2256" i="1"/>
  <c r="N2257" i="1"/>
  <c r="R2257" i="1"/>
  <c r="S2257" i="1"/>
  <c r="N2258" i="1"/>
  <c r="R2258" i="1"/>
  <c r="S2258" i="1"/>
  <c r="N2259" i="1"/>
  <c r="R2259" i="1"/>
  <c r="S2259" i="1"/>
  <c r="N2260" i="1"/>
  <c r="R2260" i="1"/>
  <c r="S2260" i="1"/>
  <c r="N2261" i="1"/>
  <c r="R2261" i="1"/>
  <c r="S2261" i="1"/>
  <c r="N2262" i="1"/>
  <c r="R2262" i="1"/>
  <c r="S2262" i="1"/>
  <c r="N2263" i="1"/>
  <c r="R2263" i="1"/>
  <c r="S2263" i="1"/>
  <c r="N2264" i="1"/>
  <c r="R2264" i="1"/>
  <c r="S2264" i="1"/>
  <c r="N2265" i="1"/>
  <c r="R2265" i="1"/>
  <c r="S2265" i="1"/>
  <c r="N2266" i="1"/>
  <c r="R2266" i="1"/>
  <c r="S2266" i="1"/>
  <c r="N2267" i="1"/>
  <c r="R2267" i="1"/>
  <c r="S2267" i="1"/>
  <c r="N2268" i="1"/>
  <c r="R2268" i="1"/>
  <c r="S2268" i="1"/>
  <c r="N2269" i="1"/>
  <c r="R2269" i="1"/>
  <c r="S2269" i="1"/>
  <c r="N2270" i="1"/>
  <c r="R2270" i="1"/>
  <c r="S2270" i="1"/>
  <c r="N2271" i="1"/>
  <c r="R2271" i="1"/>
  <c r="S2271" i="1"/>
  <c r="N2272" i="1"/>
  <c r="R2272" i="1"/>
  <c r="S2272" i="1"/>
  <c r="N2273" i="1"/>
  <c r="R2273" i="1"/>
  <c r="S2273" i="1"/>
  <c r="N2274" i="1"/>
  <c r="N2275" i="1"/>
  <c r="R2275" i="1"/>
  <c r="S2275" i="1"/>
  <c r="N2276" i="1"/>
  <c r="R2276" i="1"/>
  <c r="S2276" i="1"/>
  <c r="N2277" i="1"/>
  <c r="R2277" i="1"/>
  <c r="S2277" i="1"/>
  <c r="N2278" i="1"/>
  <c r="R2278" i="1"/>
  <c r="S2278" i="1"/>
  <c r="N2279" i="1"/>
  <c r="R2279" i="1"/>
  <c r="S2279" i="1"/>
  <c r="N2280" i="1"/>
  <c r="R2280" i="1"/>
  <c r="S2280" i="1"/>
  <c r="N2281" i="1"/>
  <c r="R2281" i="1"/>
  <c r="S2281" i="1"/>
  <c r="N2282" i="1"/>
  <c r="R2282" i="1"/>
  <c r="S2282" i="1"/>
  <c r="N2283" i="1"/>
  <c r="R2283" i="1"/>
  <c r="S2283" i="1"/>
  <c r="N2284" i="1"/>
  <c r="R2284" i="1"/>
  <c r="S2284" i="1"/>
  <c r="N2285" i="1"/>
  <c r="R2285" i="1"/>
  <c r="S2285" i="1"/>
  <c r="N2286" i="1"/>
  <c r="R2286" i="1"/>
  <c r="S2286" i="1"/>
  <c r="N2287" i="1"/>
  <c r="R2287" i="1"/>
  <c r="S2287" i="1"/>
  <c r="N2288" i="1"/>
  <c r="R2288" i="1"/>
  <c r="S2288" i="1"/>
  <c r="N2289" i="1"/>
  <c r="R2289" i="1"/>
  <c r="S2289" i="1"/>
  <c r="N2290" i="1"/>
  <c r="R2290" i="1"/>
  <c r="S2290" i="1"/>
  <c r="N2291" i="1"/>
  <c r="R2291" i="1"/>
  <c r="S2291" i="1"/>
  <c r="N2292" i="1"/>
  <c r="R2292" i="1"/>
  <c r="S2292" i="1"/>
  <c r="N2293" i="1"/>
  <c r="R2293" i="1"/>
  <c r="S2293" i="1"/>
  <c r="N2294" i="1"/>
  <c r="R2294" i="1"/>
  <c r="S2294" i="1"/>
  <c r="N2295" i="1"/>
  <c r="R2295" i="1"/>
  <c r="S2295" i="1"/>
  <c r="N2296" i="1"/>
  <c r="R2296" i="1"/>
  <c r="S2296" i="1"/>
  <c r="N2297" i="1"/>
  <c r="R2297" i="1"/>
  <c r="S2297" i="1"/>
  <c r="N2298" i="1"/>
  <c r="R2298" i="1"/>
  <c r="S2298" i="1"/>
  <c r="N2299" i="1"/>
  <c r="R2299" i="1"/>
  <c r="S2299" i="1"/>
  <c r="N2300" i="1"/>
  <c r="R2300" i="1"/>
  <c r="S2300" i="1"/>
  <c r="N2301" i="1"/>
  <c r="R2301" i="1"/>
  <c r="S2301" i="1"/>
  <c r="N2302" i="1"/>
  <c r="R2302" i="1"/>
  <c r="S2302" i="1"/>
  <c r="N2303" i="1"/>
  <c r="R2303" i="1"/>
  <c r="S2303" i="1"/>
  <c r="N2304" i="1"/>
  <c r="R2304" i="1"/>
  <c r="S2304" i="1"/>
  <c r="N2305" i="1"/>
  <c r="R2305" i="1"/>
  <c r="S2305" i="1"/>
  <c r="N2306" i="1"/>
  <c r="R2306" i="1"/>
  <c r="S2306" i="1"/>
  <c r="N2307" i="1"/>
  <c r="R2307" i="1"/>
  <c r="S2307" i="1"/>
  <c r="N2308" i="1"/>
  <c r="R2308" i="1"/>
  <c r="S2308" i="1"/>
  <c r="N2309" i="1"/>
  <c r="R2309" i="1"/>
  <c r="S2309" i="1"/>
  <c r="N2310" i="1"/>
  <c r="R2310" i="1"/>
  <c r="S2310" i="1"/>
  <c r="N2311" i="1"/>
  <c r="R2311" i="1"/>
  <c r="S2311" i="1"/>
  <c r="N2312" i="1"/>
  <c r="R2312" i="1"/>
  <c r="S2312" i="1"/>
  <c r="N2313" i="1"/>
  <c r="R2313" i="1"/>
  <c r="S2313" i="1"/>
  <c r="N2314" i="1"/>
  <c r="R2314" i="1"/>
  <c r="S2314" i="1"/>
  <c r="N2315" i="1"/>
  <c r="R2315" i="1"/>
  <c r="S2315" i="1"/>
  <c r="N2316" i="1"/>
  <c r="R2316" i="1"/>
  <c r="S2316" i="1"/>
  <c r="N2317" i="1"/>
  <c r="R2317" i="1"/>
  <c r="S2317" i="1"/>
  <c r="N2318" i="1"/>
  <c r="R2318" i="1"/>
  <c r="S2318" i="1"/>
  <c r="N2319" i="1"/>
  <c r="R2319" i="1"/>
  <c r="S2319" i="1"/>
  <c r="N2320" i="1"/>
  <c r="R2320" i="1"/>
  <c r="S2320" i="1"/>
  <c r="N2321" i="1"/>
  <c r="R2321" i="1"/>
  <c r="S2321" i="1"/>
  <c r="N2322" i="1"/>
  <c r="R2322" i="1"/>
  <c r="S2322" i="1"/>
  <c r="N2323" i="1"/>
  <c r="R2323" i="1"/>
  <c r="S2323" i="1"/>
  <c r="N2324" i="1"/>
  <c r="R2324" i="1"/>
  <c r="S2324" i="1"/>
  <c r="N2325" i="1"/>
  <c r="R2325" i="1"/>
  <c r="S2325" i="1"/>
  <c r="N2326" i="1"/>
  <c r="R2326" i="1"/>
  <c r="S2326" i="1"/>
  <c r="N2327" i="1"/>
  <c r="R2327" i="1"/>
  <c r="S2327" i="1"/>
  <c r="N2328" i="1"/>
  <c r="R2328" i="1"/>
  <c r="S2328" i="1"/>
  <c r="N2329" i="1"/>
  <c r="R2329" i="1"/>
  <c r="S2329" i="1"/>
  <c r="N2330" i="1"/>
  <c r="R2330" i="1"/>
  <c r="S2330" i="1"/>
  <c r="N2331" i="1"/>
  <c r="R2331" i="1"/>
  <c r="S2331" i="1"/>
  <c r="N2332" i="1"/>
  <c r="R2332" i="1"/>
  <c r="S2332" i="1"/>
  <c r="N2333" i="1"/>
  <c r="R2333" i="1"/>
  <c r="S2333" i="1"/>
  <c r="N2334" i="1"/>
  <c r="R2334" i="1"/>
  <c r="S2334" i="1"/>
  <c r="N2335" i="1"/>
  <c r="R2335" i="1"/>
  <c r="S2335" i="1"/>
  <c r="N2336" i="1"/>
  <c r="R2336" i="1"/>
  <c r="S2336" i="1"/>
  <c r="N2337" i="1"/>
  <c r="R2337" i="1"/>
  <c r="S2337" i="1"/>
  <c r="N2338" i="1"/>
  <c r="R2338" i="1"/>
  <c r="S2338" i="1"/>
  <c r="N2339" i="1"/>
  <c r="R2339" i="1"/>
  <c r="S2339" i="1"/>
  <c r="N2340" i="1"/>
  <c r="R2340" i="1"/>
  <c r="S2340" i="1"/>
  <c r="N2341" i="1"/>
  <c r="R2341" i="1"/>
  <c r="S2341" i="1"/>
  <c r="N2342" i="1"/>
  <c r="R2342" i="1"/>
  <c r="S2342" i="1"/>
  <c r="N2343" i="1"/>
  <c r="R2343" i="1"/>
  <c r="S2343" i="1"/>
  <c r="N2344" i="1"/>
  <c r="R2344" i="1"/>
  <c r="S2344" i="1"/>
  <c r="N2345" i="1"/>
  <c r="R2345" i="1"/>
  <c r="S2345" i="1"/>
  <c r="N2346" i="1"/>
  <c r="R2346" i="1"/>
  <c r="S2346" i="1"/>
  <c r="N2347" i="1"/>
  <c r="R2347" i="1"/>
  <c r="S2347" i="1"/>
  <c r="N2348" i="1"/>
  <c r="R2348" i="1"/>
  <c r="S2348" i="1"/>
  <c r="N2349" i="1"/>
  <c r="R2349" i="1"/>
  <c r="S2349" i="1"/>
  <c r="N2350" i="1"/>
  <c r="R2350" i="1"/>
  <c r="S2350" i="1"/>
  <c r="N2351" i="1"/>
  <c r="R2351" i="1"/>
  <c r="S2351" i="1"/>
  <c r="N2352" i="1"/>
  <c r="R2352" i="1"/>
  <c r="S2352" i="1"/>
  <c r="N2353" i="1"/>
  <c r="R2353" i="1"/>
  <c r="S2353" i="1"/>
  <c r="N2354" i="1"/>
  <c r="R2354" i="1"/>
  <c r="S2354" i="1"/>
  <c r="N2355" i="1"/>
  <c r="R2355" i="1"/>
  <c r="S2355" i="1"/>
  <c r="N2356" i="1"/>
  <c r="R2356" i="1"/>
  <c r="S2356" i="1"/>
  <c r="N2357" i="1"/>
  <c r="R2357" i="1"/>
  <c r="S2357" i="1"/>
  <c r="N2358" i="1"/>
  <c r="R2358" i="1"/>
  <c r="S2358" i="1"/>
  <c r="N2359" i="1"/>
  <c r="R2359" i="1"/>
  <c r="S2359" i="1"/>
  <c r="N2360" i="1"/>
  <c r="R2360" i="1"/>
  <c r="S2360" i="1"/>
  <c r="N2361" i="1"/>
  <c r="R2361" i="1"/>
  <c r="S2361" i="1"/>
  <c r="N2362" i="1"/>
  <c r="R2362" i="1"/>
  <c r="S2362" i="1"/>
  <c r="N2363" i="1"/>
  <c r="R2363" i="1"/>
  <c r="S2363" i="1"/>
  <c r="N2364" i="1"/>
  <c r="R2364" i="1"/>
  <c r="S2364" i="1"/>
  <c r="N2365" i="1"/>
  <c r="R2365" i="1"/>
  <c r="S2365" i="1"/>
  <c r="N2366" i="1"/>
  <c r="R2366" i="1"/>
  <c r="S2366" i="1"/>
  <c r="N2367" i="1"/>
  <c r="R2367" i="1"/>
  <c r="S2367" i="1"/>
  <c r="N2368" i="1"/>
  <c r="R2368" i="1"/>
  <c r="S2368" i="1"/>
  <c r="N2369" i="1"/>
  <c r="R2369" i="1"/>
  <c r="S2369" i="1"/>
  <c r="N2370" i="1"/>
  <c r="R2370" i="1"/>
  <c r="S2370" i="1"/>
  <c r="N2371" i="1"/>
  <c r="R2371" i="1"/>
  <c r="S2371" i="1"/>
  <c r="N2372" i="1"/>
  <c r="R2372" i="1"/>
  <c r="S2372" i="1"/>
  <c r="N2373" i="1"/>
  <c r="R2373" i="1"/>
  <c r="S2373" i="1"/>
  <c r="N2374" i="1"/>
  <c r="R2374" i="1"/>
  <c r="S2374" i="1"/>
  <c r="N2375" i="1"/>
  <c r="R2375" i="1"/>
  <c r="S2375" i="1"/>
  <c r="N2376" i="1"/>
  <c r="R2376" i="1"/>
  <c r="S2376" i="1"/>
  <c r="N2377" i="1"/>
  <c r="R2377" i="1"/>
  <c r="S2377" i="1"/>
  <c r="N2378" i="1"/>
  <c r="R2378" i="1"/>
  <c r="S2378" i="1"/>
  <c r="N2379" i="1"/>
  <c r="R2379" i="1"/>
  <c r="S2379" i="1"/>
  <c r="N2380" i="1"/>
  <c r="R2380" i="1"/>
  <c r="S2380" i="1"/>
  <c r="N2381" i="1"/>
  <c r="R2381" i="1"/>
  <c r="S2381" i="1"/>
  <c r="N2382" i="1"/>
  <c r="R2382" i="1"/>
  <c r="S2382" i="1"/>
  <c r="N2383" i="1"/>
  <c r="R2383" i="1"/>
  <c r="S2383" i="1"/>
  <c r="N2384" i="1"/>
  <c r="R2384" i="1"/>
  <c r="S2384" i="1"/>
  <c r="N2385" i="1"/>
  <c r="R2385" i="1"/>
  <c r="S2385" i="1"/>
  <c r="N2386" i="1"/>
  <c r="R2386" i="1"/>
  <c r="S2386" i="1"/>
  <c r="N2387" i="1"/>
  <c r="R2387" i="1"/>
  <c r="S2387" i="1"/>
  <c r="N2388" i="1"/>
  <c r="R2388" i="1"/>
  <c r="S2388" i="1"/>
  <c r="N2389" i="1"/>
  <c r="R2389" i="1"/>
  <c r="S2389" i="1"/>
  <c r="N2390" i="1"/>
  <c r="R2390" i="1"/>
  <c r="S2390" i="1"/>
  <c r="N2391" i="1"/>
  <c r="R2391" i="1"/>
  <c r="S2391" i="1"/>
  <c r="N2392" i="1"/>
  <c r="R2392" i="1"/>
  <c r="S2392" i="1"/>
  <c r="N2393" i="1"/>
  <c r="R2393" i="1"/>
  <c r="S2393" i="1"/>
  <c r="N2394" i="1"/>
  <c r="R2394" i="1"/>
  <c r="S2394" i="1"/>
  <c r="N2395" i="1"/>
  <c r="R2395" i="1"/>
  <c r="S2395" i="1"/>
  <c r="N2396" i="1"/>
  <c r="R2396" i="1"/>
  <c r="S2396" i="1"/>
  <c r="N2397" i="1"/>
  <c r="R2397" i="1"/>
  <c r="S2397" i="1"/>
  <c r="N2398" i="1"/>
  <c r="R2398" i="1"/>
  <c r="S2398" i="1"/>
  <c r="N2399" i="1"/>
  <c r="R2399" i="1"/>
  <c r="S2399" i="1"/>
  <c r="N2400" i="1"/>
  <c r="R2400" i="1"/>
  <c r="S2400" i="1"/>
  <c r="N2401" i="1"/>
  <c r="R2401" i="1"/>
  <c r="S2401" i="1"/>
  <c r="N2402" i="1"/>
  <c r="R2402" i="1"/>
  <c r="S2402" i="1"/>
  <c r="N2403" i="1"/>
  <c r="R2403" i="1"/>
  <c r="S2403" i="1"/>
  <c r="N2404" i="1"/>
  <c r="R2404" i="1"/>
  <c r="S2404" i="1"/>
  <c r="N2405" i="1"/>
  <c r="R2405" i="1"/>
  <c r="S2405" i="1"/>
  <c r="N2406" i="1"/>
  <c r="R2406" i="1"/>
  <c r="S2406" i="1"/>
  <c r="N2407" i="1"/>
  <c r="R2407" i="1"/>
  <c r="S2407" i="1"/>
  <c r="N2408" i="1"/>
  <c r="R2408" i="1"/>
  <c r="S2408" i="1"/>
  <c r="N2409" i="1"/>
  <c r="R2409" i="1"/>
  <c r="S2409" i="1"/>
  <c r="N2410" i="1"/>
  <c r="R2410" i="1"/>
  <c r="S2410" i="1"/>
  <c r="N2411" i="1"/>
  <c r="R2411" i="1"/>
  <c r="S2411" i="1"/>
  <c r="N2412" i="1"/>
  <c r="R2412" i="1"/>
  <c r="S2412" i="1"/>
  <c r="N2413" i="1"/>
  <c r="R2413" i="1"/>
  <c r="S2413" i="1"/>
  <c r="N2414" i="1"/>
  <c r="R2414" i="1"/>
  <c r="S2414" i="1"/>
  <c r="N2415" i="1"/>
  <c r="R2415" i="1"/>
  <c r="S2415" i="1"/>
  <c r="N2416" i="1"/>
  <c r="R2416" i="1"/>
  <c r="S2416" i="1"/>
  <c r="N2417" i="1"/>
  <c r="R2417" i="1"/>
  <c r="S2417" i="1"/>
  <c r="N2418" i="1"/>
  <c r="R2418" i="1"/>
  <c r="S2418" i="1"/>
  <c r="N2419" i="1"/>
  <c r="R2419" i="1"/>
  <c r="S2419" i="1"/>
  <c r="N2420" i="1"/>
  <c r="R2420" i="1"/>
  <c r="S2420" i="1"/>
  <c r="N2421" i="1"/>
  <c r="R2421" i="1"/>
  <c r="S2421" i="1"/>
  <c r="N2422" i="1"/>
  <c r="R2422" i="1"/>
  <c r="S2422" i="1"/>
  <c r="N2423" i="1"/>
  <c r="R2423" i="1"/>
  <c r="S2423" i="1"/>
  <c r="N2424" i="1"/>
  <c r="R2424" i="1"/>
  <c r="S2424" i="1"/>
  <c r="N2425" i="1"/>
  <c r="R2425" i="1"/>
  <c r="S2425" i="1"/>
  <c r="N2426" i="1"/>
  <c r="R2426" i="1"/>
  <c r="S2426" i="1"/>
  <c r="N2427" i="1"/>
  <c r="R2427" i="1"/>
  <c r="S2427" i="1"/>
  <c r="N2428" i="1"/>
  <c r="R2428" i="1"/>
  <c r="S2428" i="1"/>
  <c r="N2429" i="1"/>
  <c r="R2429" i="1"/>
  <c r="S2429" i="1"/>
  <c r="N2430" i="1"/>
  <c r="R2430" i="1"/>
  <c r="S2430" i="1"/>
  <c r="N2431" i="1"/>
  <c r="R2431" i="1"/>
  <c r="S2431" i="1"/>
  <c r="N2432" i="1"/>
  <c r="R2432" i="1"/>
  <c r="S2432" i="1"/>
  <c r="N2433" i="1"/>
  <c r="R2433" i="1"/>
  <c r="S2433" i="1"/>
  <c r="N2434" i="1"/>
  <c r="R2434" i="1"/>
  <c r="S2434" i="1"/>
  <c r="N2435" i="1"/>
  <c r="R2435" i="1"/>
  <c r="S2435" i="1"/>
  <c r="N2436" i="1"/>
  <c r="R2436" i="1"/>
  <c r="S2436" i="1"/>
  <c r="N2437" i="1"/>
  <c r="R2437" i="1"/>
  <c r="S2437" i="1"/>
  <c r="N2438" i="1"/>
  <c r="R2438" i="1"/>
  <c r="S2438" i="1"/>
  <c r="N2439" i="1"/>
  <c r="R2439" i="1"/>
  <c r="S2439" i="1"/>
  <c r="N2440" i="1"/>
  <c r="R2440" i="1"/>
  <c r="S2440" i="1"/>
  <c r="N2441" i="1"/>
  <c r="R2441" i="1"/>
  <c r="S2441" i="1"/>
  <c r="N2442" i="1"/>
  <c r="R2442" i="1"/>
  <c r="S2442" i="1"/>
  <c r="N2443" i="1"/>
  <c r="R2443" i="1"/>
  <c r="S2443" i="1"/>
  <c r="N2444" i="1"/>
  <c r="R2444" i="1"/>
  <c r="S2444" i="1"/>
  <c r="N2445" i="1"/>
  <c r="R2445" i="1"/>
  <c r="S2445" i="1"/>
  <c r="N2446" i="1"/>
  <c r="R2446" i="1"/>
  <c r="S2446" i="1"/>
  <c r="N2447" i="1"/>
  <c r="R2447" i="1"/>
  <c r="S2447" i="1"/>
  <c r="N2448" i="1"/>
  <c r="R2448" i="1"/>
  <c r="S2448" i="1"/>
  <c r="N2449" i="1"/>
  <c r="R2449" i="1"/>
  <c r="S2449" i="1"/>
  <c r="N2450" i="1"/>
  <c r="R2450" i="1"/>
  <c r="S2450" i="1"/>
  <c r="N2451" i="1"/>
  <c r="R2451" i="1"/>
  <c r="S2451" i="1"/>
  <c r="N2452" i="1"/>
  <c r="R2452" i="1"/>
  <c r="S2452" i="1"/>
  <c r="N2453" i="1"/>
  <c r="R2453" i="1"/>
  <c r="S2453" i="1"/>
  <c r="N2454" i="1"/>
  <c r="R2454" i="1"/>
  <c r="S2454" i="1"/>
  <c r="N2455" i="1"/>
  <c r="R2455" i="1"/>
  <c r="S2455" i="1"/>
  <c r="N2456" i="1"/>
  <c r="R2456" i="1"/>
  <c r="S2456" i="1"/>
  <c r="N2457" i="1"/>
  <c r="R2457" i="1"/>
  <c r="S2457" i="1"/>
  <c r="N2458" i="1"/>
  <c r="R2458" i="1"/>
  <c r="S2458" i="1"/>
  <c r="N2459" i="1"/>
  <c r="R2459" i="1"/>
  <c r="S2459" i="1"/>
  <c r="N2460" i="1"/>
  <c r="R2460" i="1"/>
  <c r="S2460" i="1"/>
  <c r="N2461" i="1"/>
  <c r="R2461" i="1"/>
  <c r="S2461" i="1"/>
  <c r="N2462" i="1"/>
  <c r="R2462" i="1"/>
  <c r="S2462" i="1"/>
  <c r="N2463" i="1"/>
  <c r="R2463" i="1"/>
  <c r="S2463" i="1"/>
  <c r="N2464" i="1"/>
  <c r="R2464" i="1"/>
  <c r="S2464" i="1"/>
  <c r="N2465" i="1"/>
  <c r="R2465" i="1"/>
  <c r="S2465" i="1"/>
  <c r="N2466" i="1"/>
  <c r="R2466" i="1"/>
  <c r="S2466" i="1"/>
  <c r="N2467" i="1"/>
  <c r="R2467" i="1"/>
  <c r="S2467" i="1"/>
  <c r="N2468" i="1"/>
  <c r="R2468" i="1"/>
  <c r="S2468" i="1"/>
  <c r="N2469" i="1"/>
  <c r="R2469" i="1"/>
  <c r="S2469" i="1"/>
  <c r="N2470" i="1"/>
  <c r="R2470" i="1"/>
  <c r="S2470" i="1"/>
  <c r="N2471" i="1"/>
  <c r="R2471" i="1"/>
  <c r="S2471" i="1"/>
  <c r="N2472" i="1"/>
  <c r="R2472" i="1"/>
  <c r="S2472" i="1"/>
  <c r="N2473" i="1"/>
  <c r="R2473" i="1"/>
  <c r="S2473" i="1"/>
  <c r="N2474" i="1"/>
  <c r="R2474" i="1"/>
  <c r="S2474" i="1"/>
  <c r="N2475" i="1"/>
  <c r="R2475" i="1"/>
  <c r="S2475" i="1"/>
  <c r="N2476" i="1"/>
  <c r="R2476" i="1"/>
  <c r="S2476" i="1"/>
  <c r="N2477" i="1"/>
  <c r="R2477" i="1"/>
  <c r="S2477" i="1"/>
  <c r="N2478" i="1"/>
  <c r="R2478" i="1"/>
  <c r="S2478" i="1"/>
  <c r="N2479" i="1"/>
  <c r="R2479" i="1"/>
  <c r="S2479" i="1"/>
  <c r="N2480" i="1"/>
  <c r="R2480" i="1"/>
  <c r="S2480" i="1"/>
  <c r="N2481" i="1"/>
  <c r="R2481" i="1"/>
  <c r="S2481" i="1"/>
  <c r="N2482" i="1"/>
  <c r="R2482" i="1"/>
  <c r="S2482" i="1"/>
  <c r="N2483" i="1"/>
  <c r="R2483" i="1"/>
  <c r="S2483" i="1"/>
  <c r="N2484" i="1"/>
  <c r="R2484" i="1"/>
  <c r="S2484" i="1"/>
  <c r="N2485" i="1"/>
  <c r="R2485" i="1"/>
  <c r="S2485" i="1"/>
  <c r="N2486" i="1"/>
  <c r="R2486" i="1"/>
  <c r="S2486" i="1"/>
  <c r="N2487" i="1"/>
  <c r="R2487" i="1"/>
  <c r="S2487" i="1"/>
  <c r="N2488" i="1"/>
  <c r="R2488" i="1"/>
  <c r="S2488" i="1"/>
  <c r="N2489" i="1"/>
  <c r="R2489" i="1"/>
  <c r="S2489" i="1"/>
  <c r="N2490" i="1"/>
  <c r="R2490" i="1"/>
  <c r="S2490" i="1"/>
  <c r="N2491" i="1"/>
  <c r="R2491" i="1"/>
  <c r="S2491" i="1"/>
  <c r="N2492" i="1"/>
  <c r="R2492" i="1"/>
  <c r="S2492" i="1"/>
  <c r="N2493" i="1"/>
  <c r="R2493" i="1"/>
  <c r="S2493" i="1"/>
  <c r="N2494" i="1"/>
  <c r="R2494" i="1"/>
  <c r="S2494" i="1"/>
  <c r="N2495" i="1"/>
  <c r="R2495" i="1"/>
  <c r="S2495" i="1"/>
  <c r="N2496" i="1"/>
  <c r="R2496" i="1"/>
  <c r="S2496" i="1"/>
  <c r="N2497" i="1"/>
  <c r="R2497" i="1"/>
  <c r="S2497" i="1"/>
  <c r="N2498" i="1"/>
  <c r="R2498" i="1"/>
  <c r="S2498" i="1"/>
  <c r="N2499" i="1"/>
  <c r="R2499" i="1"/>
  <c r="S2499" i="1"/>
  <c r="N2500" i="1"/>
  <c r="R2500" i="1"/>
  <c r="S2500" i="1"/>
  <c r="N2501" i="1"/>
  <c r="R2501" i="1"/>
  <c r="S2501" i="1"/>
  <c r="N2502" i="1"/>
  <c r="R2502" i="1"/>
  <c r="S2502" i="1"/>
  <c r="N2503" i="1"/>
  <c r="R2503" i="1"/>
  <c r="S2503" i="1"/>
  <c r="N2504" i="1"/>
  <c r="R2504" i="1"/>
  <c r="S2504" i="1"/>
  <c r="N2505" i="1"/>
  <c r="R2505" i="1"/>
  <c r="S2505" i="1"/>
  <c r="N2506" i="1"/>
  <c r="R2506" i="1"/>
  <c r="S2506" i="1"/>
  <c r="N2507" i="1"/>
  <c r="R2507" i="1"/>
  <c r="S2507" i="1"/>
  <c r="N2508" i="1"/>
  <c r="R2508" i="1"/>
  <c r="S2508" i="1"/>
  <c r="N2509" i="1"/>
  <c r="R2509" i="1"/>
  <c r="S2509" i="1"/>
  <c r="N2510" i="1"/>
  <c r="R2510" i="1"/>
  <c r="S2510" i="1"/>
  <c r="N2511" i="1"/>
  <c r="R2511" i="1"/>
  <c r="S2511" i="1"/>
  <c r="N2512" i="1"/>
  <c r="R2512" i="1"/>
  <c r="S2512" i="1"/>
  <c r="N2513" i="1"/>
  <c r="R2513" i="1"/>
  <c r="S2513" i="1"/>
  <c r="N2514" i="1"/>
  <c r="R2514" i="1"/>
  <c r="S2514" i="1"/>
  <c r="N2515" i="1"/>
  <c r="R2515" i="1"/>
  <c r="S2515" i="1"/>
  <c r="N2516" i="1"/>
  <c r="R2516" i="1"/>
  <c r="S2516" i="1"/>
  <c r="N2517" i="1"/>
  <c r="R2517" i="1"/>
  <c r="S2517" i="1"/>
  <c r="N2518" i="1"/>
  <c r="R2518" i="1"/>
  <c r="S2518" i="1"/>
  <c r="N2519" i="1"/>
  <c r="R2519" i="1"/>
  <c r="S2519" i="1"/>
  <c r="N2520" i="1"/>
  <c r="R2520" i="1"/>
  <c r="S2520" i="1"/>
  <c r="N2521" i="1"/>
  <c r="R2521" i="1"/>
  <c r="S2521" i="1"/>
  <c r="N2522" i="1"/>
  <c r="R2522" i="1"/>
  <c r="S2522" i="1"/>
  <c r="N2523" i="1"/>
  <c r="R2523" i="1"/>
  <c r="S2523" i="1"/>
  <c r="N2524" i="1"/>
  <c r="R2524" i="1"/>
  <c r="S2524" i="1"/>
  <c r="N2525" i="1"/>
  <c r="R2525" i="1"/>
  <c r="S2525" i="1"/>
  <c r="N2526" i="1"/>
  <c r="R2526" i="1"/>
  <c r="S2526" i="1"/>
  <c r="N2527" i="1"/>
  <c r="R2527" i="1"/>
  <c r="S2527" i="1"/>
  <c r="N2528" i="1"/>
  <c r="R2528" i="1"/>
  <c r="S2528" i="1"/>
  <c r="N2529" i="1"/>
  <c r="R2529" i="1"/>
  <c r="S2529" i="1"/>
  <c r="N2530" i="1"/>
  <c r="R2530" i="1"/>
  <c r="S2530" i="1"/>
  <c r="N2531" i="1"/>
  <c r="R2531" i="1"/>
  <c r="S2531" i="1"/>
  <c r="N2532" i="1"/>
  <c r="R2532" i="1"/>
  <c r="S2532" i="1"/>
  <c r="N2533" i="1"/>
  <c r="R2533" i="1"/>
  <c r="S2533" i="1"/>
  <c r="N2534" i="1"/>
  <c r="R2534" i="1"/>
  <c r="S2534" i="1"/>
  <c r="N2535" i="1"/>
  <c r="R2535" i="1"/>
  <c r="S2535" i="1"/>
  <c r="N2536" i="1"/>
  <c r="R2536" i="1"/>
  <c r="S2536" i="1"/>
  <c r="N2537" i="1"/>
  <c r="R2537" i="1"/>
  <c r="S2537" i="1"/>
  <c r="N2538" i="1"/>
  <c r="R2538" i="1"/>
  <c r="S2538" i="1"/>
  <c r="N2539" i="1"/>
  <c r="R2539" i="1"/>
  <c r="S2539" i="1"/>
  <c r="N2540" i="1"/>
  <c r="R2540" i="1"/>
  <c r="S2540" i="1"/>
  <c r="N2541" i="1"/>
  <c r="R2541" i="1"/>
  <c r="S2541" i="1"/>
  <c r="N2542" i="1"/>
  <c r="R2542" i="1"/>
  <c r="S2542" i="1"/>
  <c r="N2543" i="1"/>
  <c r="R2543" i="1"/>
  <c r="S2543" i="1"/>
  <c r="N2544" i="1"/>
  <c r="R2544" i="1"/>
  <c r="S2544" i="1"/>
  <c r="N2545" i="1"/>
  <c r="R2545" i="1"/>
  <c r="S2545" i="1"/>
  <c r="N2546" i="1"/>
  <c r="R2546" i="1"/>
  <c r="S2546" i="1"/>
  <c r="N2547" i="1"/>
  <c r="R2547" i="1"/>
  <c r="S2547" i="1"/>
  <c r="N2548" i="1"/>
  <c r="R2548" i="1"/>
  <c r="S2548" i="1"/>
  <c r="N2549" i="1"/>
  <c r="R2549" i="1"/>
  <c r="S2549" i="1"/>
  <c r="N2550" i="1"/>
  <c r="R2550" i="1"/>
  <c r="S2550" i="1"/>
  <c r="N2551" i="1"/>
  <c r="R2551" i="1"/>
  <c r="S2551" i="1"/>
  <c r="N2552" i="1"/>
  <c r="R2552" i="1"/>
  <c r="S2552" i="1"/>
  <c r="N2553" i="1"/>
  <c r="R2553" i="1"/>
  <c r="S2553" i="1"/>
  <c r="N2554" i="1"/>
  <c r="R2554" i="1"/>
  <c r="S2554" i="1"/>
  <c r="N2555" i="1"/>
  <c r="R2555" i="1"/>
  <c r="S2555" i="1"/>
  <c r="N2556" i="1"/>
  <c r="R2556" i="1"/>
  <c r="S2556" i="1"/>
  <c r="N2557" i="1"/>
  <c r="R2557" i="1"/>
  <c r="S2557" i="1"/>
  <c r="N2558" i="1"/>
  <c r="R2558" i="1"/>
  <c r="S2558" i="1"/>
  <c r="N2559" i="1"/>
  <c r="R2559" i="1"/>
  <c r="S2559" i="1"/>
  <c r="N2560" i="1"/>
  <c r="R2560" i="1"/>
  <c r="S2560" i="1"/>
  <c r="N2561" i="1"/>
  <c r="R2561" i="1"/>
  <c r="S2561" i="1"/>
  <c r="N2562" i="1"/>
  <c r="R2562" i="1"/>
  <c r="S2562" i="1"/>
  <c r="N2563" i="1"/>
  <c r="R2563" i="1"/>
  <c r="S2563" i="1"/>
  <c r="N2564" i="1"/>
  <c r="R2564" i="1"/>
  <c r="S2564" i="1"/>
  <c r="N2565" i="1"/>
  <c r="R2565" i="1"/>
  <c r="S2565" i="1"/>
  <c r="N2566" i="1"/>
  <c r="R2566" i="1"/>
  <c r="S2566" i="1"/>
  <c r="N2567" i="1"/>
  <c r="R2567" i="1"/>
  <c r="S2567" i="1"/>
  <c r="N2568" i="1"/>
  <c r="R2568" i="1"/>
  <c r="S2568" i="1"/>
  <c r="N2569" i="1"/>
  <c r="R2569" i="1"/>
  <c r="S2569" i="1"/>
  <c r="N2570" i="1"/>
  <c r="R2570" i="1"/>
  <c r="S2570" i="1"/>
  <c r="N2571" i="1"/>
  <c r="R2571" i="1"/>
  <c r="S2571" i="1"/>
  <c r="N2572" i="1"/>
  <c r="R2572" i="1"/>
  <c r="S2572" i="1"/>
  <c r="N2573" i="1"/>
  <c r="R2573" i="1"/>
  <c r="S2573" i="1"/>
  <c r="N2574" i="1"/>
  <c r="R2574" i="1"/>
  <c r="S2574" i="1"/>
  <c r="N2575" i="1"/>
  <c r="R2575" i="1"/>
  <c r="S2575" i="1"/>
  <c r="N2576" i="1"/>
  <c r="R2576" i="1"/>
  <c r="S2576" i="1"/>
  <c r="N2577" i="1"/>
  <c r="R2577" i="1"/>
  <c r="S2577" i="1"/>
  <c r="N2578" i="1"/>
  <c r="R2578" i="1"/>
  <c r="S2578" i="1"/>
  <c r="N2579" i="1"/>
  <c r="R2579" i="1"/>
  <c r="S2579" i="1"/>
  <c r="N2580" i="1"/>
  <c r="R2580" i="1"/>
  <c r="S2580" i="1"/>
  <c r="N2581" i="1"/>
  <c r="R2581" i="1"/>
  <c r="S2581" i="1"/>
  <c r="N2582" i="1"/>
  <c r="R2582" i="1"/>
  <c r="S2582" i="1"/>
  <c r="N2583" i="1"/>
  <c r="R2583" i="1"/>
  <c r="S2583" i="1"/>
  <c r="N2584" i="1"/>
  <c r="R2584" i="1"/>
  <c r="S2584" i="1"/>
  <c r="N2585" i="1"/>
  <c r="R2585" i="1"/>
  <c r="S2585" i="1"/>
  <c r="N2586" i="1"/>
  <c r="R2586" i="1"/>
  <c r="S2586" i="1"/>
  <c r="N2587" i="1"/>
  <c r="R2587" i="1"/>
  <c r="S2587" i="1"/>
  <c r="N2588" i="1"/>
  <c r="R2588" i="1"/>
  <c r="S2588" i="1"/>
  <c r="N2589" i="1"/>
  <c r="R2589" i="1"/>
  <c r="S2589" i="1"/>
  <c r="N2590" i="1"/>
  <c r="R2590" i="1"/>
  <c r="S2590" i="1"/>
  <c r="N2591" i="1"/>
  <c r="R2591" i="1"/>
  <c r="S2591" i="1"/>
  <c r="N2592" i="1"/>
  <c r="R2592" i="1"/>
  <c r="S2592" i="1"/>
  <c r="N2593" i="1"/>
  <c r="R2593" i="1"/>
  <c r="S2593" i="1"/>
  <c r="N2594" i="1"/>
  <c r="R2594" i="1"/>
  <c r="S2594" i="1"/>
  <c r="N2595" i="1"/>
  <c r="R2595" i="1"/>
  <c r="S2595" i="1"/>
  <c r="N2596" i="1"/>
  <c r="R2596" i="1"/>
  <c r="S2596" i="1"/>
  <c r="N2597" i="1"/>
  <c r="R2597" i="1"/>
  <c r="S2597" i="1"/>
  <c r="N2598" i="1"/>
  <c r="R2598" i="1"/>
  <c r="S2598" i="1"/>
  <c r="N2599" i="1"/>
  <c r="R2599" i="1"/>
  <c r="S2599" i="1"/>
  <c r="N2600" i="1"/>
  <c r="R2600" i="1"/>
  <c r="S2600" i="1"/>
  <c r="N2601" i="1"/>
  <c r="R2601" i="1"/>
  <c r="S2601" i="1"/>
  <c r="N2602" i="1"/>
  <c r="R2602" i="1"/>
  <c r="S2602" i="1"/>
  <c r="N2603" i="1"/>
  <c r="R2603" i="1"/>
  <c r="S2603" i="1"/>
  <c r="N2604" i="1"/>
  <c r="R2604" i="1"/>
  <c r="S2604" i="1"/>
  <c r="N2605" i="1"/>
  <c r="R2605" i="1"/>
  <c r="S2605" i="1"/>
  <c r="N2606" i="1"/>
  <c r="R2606" i="1"/>
  <c r="S2606" i="1"/>
  <c r="N2607" i="1"/>
  <c r="R2607" i="1"/>
  <c r="S2607" i="1"/>
  <c r="N2608" i="1"/>
  <c r="R2608" i="1"/>
  <c r="S2608" i="1"/>
  <c r="N2609" i="1"/>
  <c r="R2609" i="1"/>
  <c r="S2609" i="1"/>
  <c r="N2610" i="1"/>
  <c r="N2611" i="1"/>
  <c r="R2611" i="1"/>
  <c r="S2611" i="1"/>
  <c r="N2612" i="1"/>
  <c r="R2612" i="1"/>
  <c r="S2612" i="1"/>
  <c r="N2613" i="1"/>
  <c r="R2613" i="1"/>
  <c r="S2613" i="1"/>
  <c r="N2614" i="1"/>
  <c r="R2614" i="1"/>
  <c r="S2614" i="1"/>
  <c r="N2615" i="1"/>
  <c r="R2615" i="1"/>
  <c r="S2615" i="1"/>
  <c r="N2616" i="1"/>
  <c r="R2616" i="1"/>
  <c r="S2616" i="1"/>
  <c r="N2617" i="1"/>
  <c r="R2617" i="1"/>
  <c r="S2617" i="1"/>
  <c r="N2618" i="1"/>
  <c r="R2618" i="1"/>
  <c r="S2618" i="1"/>
  <c r="N2619" i="1"/>
  <c r="R2619" i="1"/>
  <c r="S2619" i="1"/>
  <c r="N2620" i="1"/>
  <c r="R2620" i="1"/>
  <c r="S2620" i="1"/>
  <c r="N2621" i="1"/>
  <c r="R2621" i="1"/>
  <c r="S2621" i="1"/>
  <c r="N2622" i="1"/>
  <c r="R2622" i="1"/>
  <c r="S2622" i="1"/>
  <c r="N2623" i="1"/>
  <c r="R2623" i="1"/>
  <c r="S2623" i="1"/>
  <c r="N2624" i="1"/>
  <c r="R2624" i="1"/>
  <c r="S2624" i="1"/>
  <c r="N2625" i="1"/>
  <c r="R2625" i="1"/>
  <c r="S2625" i="1"/>
  <c r="N2626" i="1"/>
  <c r="R2626" i="1"/>
  <c r="S2626" i="1"/>
  <c r="N2627" i="1"/>
  <c r="R2627" i="1"/>
  <c r="S2627" i="1"/>
  <c r="N2628" i="1"/>
  <c r="R2628" i="1"/>
  <c r="S2628" i="1"/>
  <c r="N2629" i="1"/>
  <c r="R2629" i="1"/>
  <c r="S2629" i="1"/>
  <c r="N2630" i="1"/>
  <c r="R2630" i="1"/>
  <c r="S2630" i="1"/>
  <c r="N2631" i="1"/>
  <c r="R2631" i="1"/>
  <c r="S2631" i="1"/>
  <c r="N2632" i="1"/>
  <c r="R2632" i="1"/>
  <c r="S2632" i="1"/>
  <c r="N2633" i="1"/>
  <c r="R2633" i="1"/>
  <c r="S2633" i="1"/>
  <c r="N2634" i="1"/>
  <c r="R2634" i="1"/>
  <c r="S2634" i="1"/>
  <c r="N2635" i="1"/>
  <c r="N2636" i="1"/>
  <c r="R2636" i="1"/>
  <c r="S2636" i="1"/>
  <c r="N2637" i="1"/>
  <c r="R2637" i="1"/>
  <c r="S2637" i="1"/>
  <c r="N2638" i="1"/>
  <c r="R2638" i="1"/>
  <c r="S2638" i="1"/>
  <c r="N2639" i="1"/>
  <c r="R2639" i="1"/>
  <c r="S2639" i="1"/>
  <c r="N2640" i="1"/>
  <c r="R2640" i="1"/>
  <c r="S2640" i="1"/>
  <c r="N2641" i="1"/>
  <c r="R2641" i="1"/>
  <c r="S2641" i="1"/>
  <c r="N2642" i="1"/>
  <c r="R2642" i="1"/>
  <c r="S2642" i="1"/>
  <c r="N2643" i="1"/>
  <c r="R2643" i="1"/>
  <c r="S2643" i="1"/>
  <c r="N2644" i="1"/>
  <c r="R2644" i="1"/>
  <c r="S2644" i="1"/>
  <c r="N2645" i="1"/>
  <c r="R2645" i="1"/>
  <c r="S2645" i="1"/>
  <c r="N2646" i="1"/>
  <c r="R2646" i="1"/>
  <c r="S2646" i="1"/>
  <c r="N2647" i="1"/>
  <c r="R2647" i="1"/>
  <c r="S2647" i="1"/>
  <c r="N2648" i="1"/>
  <c r="R2648" i="1"/>
  <c r="S2648" i="1"/>
  <c r="N2649" i="1"/>
  <c r="R2649" i="1"/>
  <c r="S2649" i="1"/>
  <c r="N2650" i="1"/>
  <c r="R2650" i="1"/>
  <c r="S2650" i="1"/>
  <c r="N2651" i="1"/>
  <c r="R2651" i="1"/>
  <c r="S2651" i="1"/>
  <c r="N2652" i="1"/>
  <c r="R2652" i="1"/>
  <c r="S2652" i="1"/>
  <c r="N2653" i="1"/>
  <c r="R2653" i="1"/>
  <c r="S2653" i="1"/>
  <c r="N2654" i="1"/>
  <c r="R2654" i="1"/>
  <c r="S2654" i="1"/>
  <c r="N2655" i="1"/>
  <c r="R2655" i="1"/>
  <c r="S2655" i="1"/>
  <c r="N2656" i="1"/>
  <c r="R2656" i="1"/>
  <c r="S2656" i="1"/>
  <c r="N2657" i="1"/>
  <c r="R2657" i="1"/>
  <c r="S2657" i="1"/>
  <c r="N2658" i="1"/>
  <c r="R2658" i="1"/>
  <c r="S2658" i="1"/>
  <c r="N2659" i="1"/>
  <c r="R2659" i="1"/>
  <c r="S2659" i="1"/>
  <c r="N2660" i="1"/>
  <c r="R2660" i="1"/>
  <c r="S2660" i="1"/>
  <c r="N2661" i="1"/>
  <c r="R2661" i="1"/>
  <c r="S2661" i="1"/>
  <c r="N2662" i="1"/>
  <c r="R2662" i="1"/>
  <c r="S2662" i="1"/>
  <c r="N2663" i="1"/>
  <c r="R2663" i="1"/>
  <c r="S2663" i="1"/>
  <c r="N2664" i="1"/>
  <c r="R2664" i="1"/>
  <c r="S2664" i="1"/>
  <c r="N2665" i="1"/>
  <c r="R2665" i="1"/>
  <c r="S2665" i="1"/>
  <c r="N2666" i="1"/>
  <c r="R2666" i="1"/>
  <c r="S2666" i="1"/>
  <c r="N2667" i="1"/>
  <c r="R2667" i="1"/>
  <c r="S2667" i="1"/>
  <c r="N2668" i="1"/>
  <c r="R2668" i="1"/>
  <c r="S2668" i="1"/>
  <c r="N2669" i="1"/>
  <c r="R2669" i="1"/>
  <c r="S2669" i="1"/>
  <c r="N2670" i="1"/>
  <c r="R2670" i="1"/>
  <c r="S2670" i="1"/>
  <c r="N2671" i="1"/>
  <c r="R2671" i="1"/>
  <c r="S2671" i="1"/>
  <c r="N2672" i="1"/>
  <c r="R2672" i="1"/>
  <c r="S2672" i="1"/>
  <c r="N2673" i="1"/>
  <c r="R2673" i="1"/>
  <c r="S2673" i="1"/>
  <c r="N2674" i="1"/>
  <c r="R2674" i="1"/>
  <c r="S2674" i="1"/>
  <c r="N2675" i="1"/>
  <c r="R2675" i="1"/>
  <c r="S2675" i="1"/>
  <c r="N2676" i="1"/>
  <c r="R2676" i="1"/>
  <c r="S2676" i="1"/>
  <c r="N2677" i="1"/>
  <c r="R2677" i="1"/>
  <c r="S2677" i="1"/>
  <c r="N2678" i="1"/>
  <c r="R2678" i="1"/>
  <c r="S2678" i="1"/>
  <c r="N2679" i="1"/>
  <c r="R2679" i="1"/>
  <c r="S2679" i="1"/>
  <c r="N2680" i="1"/>
  <c r="R2680" i="1"/>
  <c r="S2680" i="1"/>
  <c r="N2681" i="1"/>
  <c r="R2681" i="1"/>
  <c r="S2681" i="1"/>
  <c r="N2682" i="1"/>
  <c r="R2682" i="1"/>
  <c r="S2682" i="1"/>
  <c r="N2683" i="1"/>
  <c r="R2683" i="1"/>
  <c r="S2683" i="1"/>
  <c r="N2684" i="1"/>
  <c r="R2684" i="1"/>
  <c r="S2684" i="1"/>
  <c r="N2685" i="1"/>
  <c r="R2685" i="1"/>
  <c r="S2685" i="1"/>
  <c r="N2686" i="1"/>
  <c r="R2686" i="1"/>
  <c r="S2686" i="1"/>
  <c r="N2687" i="1"/>
  <c r="R2687" i="1"/>
  <c r="S2687" i="1"/>
  <c r="N2688" i="1"/>
  <c r="R2688" i="1"/>
  <c r="S2688" i="1"/>
  <c r="N2689" i="1"/>
  <c r="R2689" i="1"/>
  <c r="S2689" i="1"/>
  <c r="N2690" i="1"/>
  <c r="R2690" i="1"/>
  <c r="S2690" i="1"/>
  <c r="N2691" i="1"/>
  <c r="R2691" i="1"/>
  <c r="S2691" i="1"/>
  <c r="N2692" i="1"/>
  <c r="R2692" i="1"/>
  <c r="S2692" i="1"/>
  <c r="N2693" i="1"/>
  <c r="R2693" i="1"/>
  <c r="S2693" i="1"/>
  <c r="N2694" i="1"/>
  <c r="R2694" i="1"/>
  <c r="S2694" i="1"/>
  <c r="N2695" i="1"/>
  <c r="R2695" i="1"/>
  <c r="S2695" i="1"/>
  <c r="N2696" i="1"/>
  <c r="R2696" i="1"/>
  <c r="S2696" i="1"/>
  <c r="N2697" i="1"/>
  <c r="R2697" i="1"/>
  <c r="S2697" i="1"/>
  <c r="N2698" i="1"/>
  <c r="R2698" i="1"/>
  <c r="S2698" i="1"/>
  <c r="N2699" i="1"/>
  <c r="R2699" i="1"/>
  <c r="S2699" i="1"/>
  <c r="N2700" i="1"/>
  <c r="R2700" i="1"/>
  <c r="S2700" i="1"/>
  <c r="N2701" i="1"/>
  <c r="R2701" i="1"/>
  <c r="S2701" i="1"/>
  <c r="N2702" i="1"/>
  <c r="R2702" i="1"/>
  <c r="S2702" i="1"/>
  <c r="N2703" i="1"/>
  <c r="S2703" i="1"/>
  <c r="N2704" i="1"/>
  <c r="R2704" i="1"/>
  <c r="S2704" i="1"/>
  <c r="N2705" i="1"/>
  <c r="R2705" i="1"/>
  <c r="S2705" i="1"/>
  <c r="N2706" i="1"/>
  <c r="R2706" i="1"/>
  <c r="S2706" i="1"/>
  <c r="N2707" i="1"/>
  <c r="R2707" i="1"/>
  <c r="S2707" i="1"/>
  <c r="N2708" i="1"/>
  <c r="R2708" i="1"/>
  <c r="S2708" i="1"/>
  <c r="N2709" i="1"/>
  <c r="R2709" i="1"/>
  <c r="S2709" i="1"/>
  <c r="N2710" i="1"/>
  <c r="R2710" i="1"/>
  <c r="S2710" i="1"/>
  <c r="N2711" i="1"/>
  <c r="R2711" i="1"/>
  <c r="S2711" i="1"/>
  <c r="N2712" i="1"/>
  <c r="R2712" i="1"/>
  <c r="S2712" i="1"/>
  <c r="N2713" i="1"/>
  <c r="R2713" i="1"/>
  <c r="S2713" i="1"/>
  <c r="N2714" i="1"/>
  <c r="R2714" i="1"/>
  <c r="S2714" i="1"/>
  <c r="N2715" i="1"/>
  <c r="R2715" i="1"/>
  <c r="S2715" i="1"/>
  <c r="N2716" i="1"/>
  <c r="R2716" i="1"/>
  <c r="S2716" i="1"/>
  <c r="N2717" i="1"/>
  <c r="R2717" i="1"/>
  <c r="S2717" i="1"/>
  <c r="N2718" i="1"/>
  <c r="R2718" i="1"/>
  <c r="S2718" i="1"/>
  <c r="N2719" i="1"/>
  <c r="R2719" i="1"/>
  <c r="S2719" i="1"/>
  <c r="N2720" i="1"/>
  <c r="R2720" i="1"/>
  <c r="S2720" i="1"/>
  <c r="N2721" i="1"/>
  <c r="R2721" i="1"/>
  <c r="S2721" i="1"/>
  <c r="N2722" i="1"/>
  <c r="R2722" i="1"/>
  <c r="S2722" i="1"/>
  <c r="N2723" i="1"/>
  <c r="R2723" i="1"/>
  <c r="S2723" i="1"/>
  <c r="N2724" i="1"/>
  <c r="R2724" i="1"/>
  <c r="S2724" i="1"/>
  <c r="N2725" i="1"/>
  <c r="R2725" i="1"/>
  <c r="S2725" i="1"/>
  <c r="N2726" i="1"/>
  <c r="R2726" i="1"/>
  <c r="S2726" i="1"/>
  <c r="N2727" i="1"/>
  <c r="R2727" i="1"/>
  <c r="S2727" i="1"/>
  <c r="N2728" i="1"/>
  <c r="R2728" i="1"/>
  <c r="S2728" i="1"/>
  <c r="N2729" i="1"/>
  <c r="R2729" i="1"/>
  <c r="S2729" i="1"/>
  <c r="N2730" i="1"/>
  <c r="R2730" i="1"/>
  <c r="S2730" i="1"/>
  <c r="N2731" i="1"/>
  <c r="R2731" i="1"/>
  <c r="S2731" i="1"/>
  <c r="N2732" i="1"/>
  <c r="R2732" i="1"/>
  <c r="S2732" i="1"/>
  <c r="N2733" i="1"/>
  <c r="R2733" i="1"/>
  <c r="S2733" i="1"/>
  <c r="N2734" i="1"/>
  <c r="R2734" i="1"/>
  <c r="S2734" i="1"/>
  <c r="N2735" i="1"/>
  <c r="R2735" i="1"/>
  <c r="S2735" i="1"/>
  <c r="N2736" i="1"/>
  <c r="R2736" i="1"/>
  <c r="S2736" i="1"/>
  <c r="N2737" i="1"/>
  <c r="R2737" i="1"/>
  <c r="S2737" i="1"/>
  <c r="N2738" i="1"/>
  <c r="R2738" i="1"/>
  <c r="S2738" i="1"/>
  <c r="N2739" i="1"/>
  <c r="R2739" i="1"/>
  <c r="S2739" i="1"/>
  <c r="N2740" i="1"/>
  <c r="R2740" i="1"/>
  <c r="S2740" i="1"/>
  <c r="N2741" i="1"/>
  <c r="R2741" i="1"/>
  <c r="S2741" i="1"/>
  <c r="N2742" i="1"/>
  <c r="R2742" i="1"/>
  <c r="S2742" i="1"/>
  <c r="N2743" i="1"/>
  <c r="R2743" i="1"/>
  <c r="S2743" i="1"/>
  <c r="N2744" i="1"/>
  <c r="R2744" i="1"/>
  <c r="S2744" i="1"/>
  <c r="N2745" i="1"/>
  <c r="R2745" i="1"/>
  <c r="S2745" i="1"/>
  <c r="N2746" i="1"/>
  <c r="R2746" i="1"/>
  <c r="S2746" i="1"/>
  <c r="N2747" i="1"/>
  <c r="R2747" i="1"/>
  <c r="S2747" i="1"/>
  <c r="N2748" i="1"/>
  <c r="R2748" i="1"/>
  <c r="S2748" i="1"/>
  <c r="N2749" i="1"/>
  <c r="R2749" i="1"/>
  <c r="S2749" i="1"/>
  <c r="N2750" i="1"/>
  <c r="R2750" i="1"/>
  <c r="S2750" i="1"/>
  <c r="N2751" i="1"/>
  <c r="R2751" i="1"/>
  <c r="S2751" i="1"/>
  <c r="N2752" i="1"/>
  <c r="R2752" i="1"/>
  <c r="S2752" i="1"/>
  <c r="N2753" i="1"/>
  <c r="R2753" i="1"/>
  <c r="S2753" i="1"/>
  <c r="N2754" i="1"/>
  <c r="R2754" i="1"/>
  <c r="S2754" i="1"/>
  <c r="N2755" i="1"/>
  <c r="R2755" i="1"/>
  <c r="S2755" i="1"/>
  <c r="N2756" i="1"/>
  <c r="R2756" i="1"/>
  <c r="S2756" i="1"/>
  <c r="N2757" i="1"/>
  <c r="R2757" i="1"/>
  <c r="S2757" i="1"/>
  <c r="N2758" i="1"/>
  <c r="R2758" i="1"/>
  <c r="S2758" i="1"/>
  <c r="N2759" i="1"/>
  <c r="R2759" i="1"/>
  <c r="S2759" i="1"/>
  <c r="N2760" i="1"/>
  <c r="R2760" i="1"/>
  <c r="S2760" i="1"/>
  <c r="N2761" i="1"/>
  <c r="R2761" i="1"/>
  <c r="S2761" i="1"/>
  <c r="N2762" i="1"/>
  <c r="R2762" i="1"/>
  <c r="S2762" i="1"/>
  <c r="N2763" i="1"/>
  <c r="R2763" i="1"/>
  <c r="S2763" i="1"/>
  <c r="N2764" i="1"/>
  <c r="R2764" i="1"/>
  <c r="S2764" i="1"/>
  <c r="N2765" i="1"/>
  <c r="R2765" i="1"/>
  <c r="S2765" i="1"/>
  <c r="N2766" i="1"/>
  <c r="R2766" i="1"/>
  <c r="S2766" i="1"/>
  <c r="N2767" i="1"/>
  <c r="R2767" i="1"/>
  <c r="S2767" i="1"/>
  <c r="N2768" i="1"/>
  <c r="R2768" i="1"/>
  <c r="S2768" i="1"/>
  <c r="N2769" i="1"/>
  <c r="R2769" i="1"/>
  <c r="S2769" i="1"/>
  <c r="N2770" i="1"/>
  <c r="R2770" i="1"/>
  <c r="S2770" i="1"/>
  <c r="N2771" i="1"/>
  <c r="R2771" i="1"/>
  <c r="S2771" i="1"/>
  <c r="N2772" i="1"/>
  <c r="R2772" i="1"/>
  <c r="S2772" i="1"/>
  <c r="N2773" i="1"/>
  <c r="R2773" i="1"/>
  <c r="S2773" i="1"/>
  <c r="N2774" i="1"/>
  <c r="R2774" i="1"/>
  <c r="S2774" i="1"/>
  <c r="N2775" i="1"/>
  <c r="R2775" i="1"/>
  <c r="S2775" i="1"/>
  <c r="N2776" i="1"/>
  <c r="R2776" i="1"/>
  <c r="S2776" i="1"/>
  <c r="N2777" i="1"/>
  <c r="R2777" i="1"/>
  <c r="S2777" i="1"/>
  <c r="N2778" i="1"/>
  <c r="R2778" i="1"/>
  <c r="S2778" i="1"/>
  <c r="N2779" i="1"/>
  <c r="R2779" i="1"/>
  <c r="S2779" i="1"/>
  <c r="N2780" i="1"/>
  <c r="R2780" i="1"/>
  <c r="S2780" i="1"/>
  <c r="N2781" i="1"/>
  <c r="R2781" i="1"/>
  <c r="S2781" i="1"/>
  <c r="N2782" i="1"/>
  <c r="R2782" i="1"/>
  <c r="S2782" i="1"/>
  <c r="N2783" i="1"/>
  <c r="R2783" i="1"/>
  <c r="S2783" i="1"/>
  <c r="N2784" i="1"/>
  <c r="R2784" i="1"/>
  <c r="S2784" i="1"/>
  <c r="N2785" i="1"/>
  <c r="R2785" i="1"/>
  <c r="S2785" i="1"/>
  <c r="N2786" i="1"/>
  <c r="R2786" i="1"/>
  <c r="S2786" i="1"/>
  <c r="N2787" i="1"/>
  <c r="R2787" i="1"/>
  <c r="S2787" i="1"/>
  <c r="N2788" i="1"/>
  <c r="R2788" i="1"/>
  <c r="S2788" i="1"/>
  <c r="N2789" i="1"/>
  <c r="R2789" i="1"/>
  <c r="S2789" i="1"/>
  <c r="N2790" i="1"/>
  <c r="R2790" i="1"/>
  <c r="S2790" i="1"/>
  <c r="N2791" i="1"/>
  <c r="R2791" i="1"/>
  <c r="S2791" i="1"/>
  <c r="N2792" i="1"/>
  <c r="R2792" i="1"/>
  <c r="S2792" i="1"/>
  <c r="N2793" i="1"/>
  <c r="R2793" i="1"/>
  <c r="S2793" i="1"/>
  <c r="N2794" i="1"/>
  <c r="R2794" i="1"/>
  <c r="S2794" i="1"/>
  <c r="N2795" i="1"/>
  <c r="R2795" i="1"/>
  <c r="S2795" i="1"/>
  <c r="N2796" i="1"/>
  <c r="R2796" i="1"/>
  <c r="S2796" i="1"/>
  <c r="N2797" i="1"/>
  <c r="R2797" i="1"/>
  <c r="S2797" i="1"/>
  <c r="N2798" i="1"/>
  <c r="R2798" i="1"/>
  <c r="S2798" i="1"/>
  <c r="N2799" i="1"/>
  <c r="R2799" i="1"/>
  <c r="S2799" i="1"/>
  <c r="N2800" i="1"/>
  <c r="R2800" i="1"/>
  <c r="S2800" i="1"/>
  <c r="N2801" i="1"/>
  <c r="R2801" i="1"/>
  <c r="S2801" i="1"/>
  <c r="N2802" i="1"/>
  <c r="R2802" i="1"/>
  <c r="S2802" i="1"/>
  <c r="N2803" i="1"/>
  <c r="R2803" i="1"/>
  <c r="S2803" i="1"/>
  <c r="N2804" i="1"/>
  <c r="R2804" i="1"/>
  <c r="S2804" i="1"/>
  <c r="N2805" i="1"/>
  <c r="R2805" i="1"/>
  <c r="S2805" i="1"/>
  <c r="N2806" i="1"/>
  <c r="R2806" i="1"/>
  <c r="S2806" i="1"/>
  <c r="N2807" i="1"/>
  <c r="R2807" i="1"/>
  <c r="S2807" i="1"/>
  <c r="N2808" i="1"/>
  <c r="R2808" i="1"/>
  <c r="S2808" i="1"/>
  <c r="N2809" i="1"/>
  <c r="R2809" i="1"/>
  <c r="S2809" i="1"/>
  <c r="N2810" i="1"/>
  <c r="R2810" i="1"/>
  <c r="S2810" i="1"/>
  <c r="N2811" i="1"/>
  <c r="R2811" i="1"/>
  <c r="S2811" i="1"/>
  <c r="N2812" i="1"/>
  <c r="R2812" i="1"/>
  <c r="S2812" i="1"/>
  <c r="N2813" i="1"/>
  <c r="R2813" i="1"/>
  <c r="S2813" i="1"/>
  <c r="N2814" i="1"/>
  <c r="R2814" i="1"/>
  <c r="S2814" i="1"/>
  <c r="N2815" i="1"/>
  <c r="R2815" i="1"/>
  <c r="S2815" i="1"/>
  <c r="N2816" i="1"/>
  <c r="R2816" i="1"/>
  <c r="S2816" i="1"/>
  <c r="N2817" i="1"/>
  <c r="R2817" i="1"/>
  <c r="S2817" i="1"/>
  <c r="N2818" i="1"/>
  <c r="R2818" i="1"/>
  <c r="S2818" i="1"/>
  <c r="N2819" i="1"/>
  <c r="R2819" i="1"/>
  <c r="S2819" i="1"/>
  <c r="N2820" i="1"/>
  <c r="R2820" i="1"/>
  <c r="S2820" i="1"/>
  <c r="N2821" i="1"/>
  <c r="R2821" i="1"/>
  <c r="S2821" i="1"/>
  <c r="N2822" i="1"/>
  <c r="R2822" i="1"/>
  <c r="S2822" i="1"/>
  <c r="N2823" i="1"/>
  <c r="R2823" i="1"/>
  <c r="S2823" i="1"/>
  <c r="N2824" i="1"/>
  <c r="R2824" i="1"/>
  <c r="S2824" i="1"/>
  <c r="N2825" i="1"/>
  <c r="R2825" i="1"/>
  <c r="S2825" i="1"/>
  <c r="N2826" i="1"/>
  <c r="R2826" i="1"/>
  <c r="S2826" i="1"/>
  <c r="N2827" i="1"/>
  <c r="R2827" i="1"/>
  <c r="S2827" i="1"/>
  <c r="N2828" i="1"/>
  <c r="R2828" i="1"/>
  <c r="S2828" i="1"/>
  <c r="N2829" i="1"/>
  <c r="R2829" i="1"/>
  <c r="S2829" i="1"/>
  <c r="N2830" i="1"/>
  <c r="R2830" i="1"/>
  <c r="S2830" i="1"/>
  <c r="N2831" i="1"/>
  <c r="R2831" i="1"/>
  <c r="S2831" i="1"/>
  <c r="N2832" i="1"/>
  <c r="R2832" i="1"/>
  <c r="S2832" i="1"/>
  <c r="N2833" i="1"/>
  <c r="R2833" i="1"/>
  <c r="S2833" i="1"/>
  <c r="N2834" i="1"/>
  <c r="R2834" i="1"/>
  <c r="S2834" i="1"/>
  <c r="N2835" i="1"/>
  <c r="R2835" i="1"/>
  <c r="S2835" i="1"/>
  <c r="N2836" i="1"/>
  <c r="R2836" i="1"/>
  <c r="S2836" i="1"/>
  <c r="N2837" i="1"/>
  <c r="R2837" i="1"/>
  <c r="S2837" i="1"/>
  <c r="N2838" i="1"/>
  <c r="S2838" i="1"/>
  <c r="N2839" i="1"/>
  <c r="R2839" i="1"/>
  <c r="S2839" i="1"/>
  <c r="N2840" i="1"/>
  <c r="R2840" i="1"/>
  <c r="S2840" i="1"/>
  <c r="N2841" i="1"/>
  <c r="N2842" i="1"/>
  <c r="R2842" i="1"/>
  <c r="S2842" i="1"/>
  <c r="N2843" i="1"/>
  <c r="R2843" i="1"/>
  <c r="S2843" i="1"/>
  <c r="N2844" i="1"/>
  <c r="R2844" i="1"/>
  <c r="S2844" i="1"/>
  <c r="N2845" i="1"/>
  <c r="R2845" i="1"/>
  <c r="S2845" i="1"/>
  <c r="N2846" i="1"/>
  <c r="R2846" i="1"/>
  <c r="S2846" i="1"/>
  <c r="N2847" i="1"/>
  <c r="R2847" i="1"/>
  <c r="S2847" i="1"/>
  <c r="N2848" i="1"/>
  <c r="R2848" i="1"/>
  <c r="S2848" i="1"/>
  <c r="N2849" i="1"/>
  <c r="R2849" i="1"/>
  <c r="S2849" i="1"/>
  <c r="N2850" i="1"/>
  <c r="R2850" i="1"/>
  <c r="S2850" i="1"/>
  <c r="N2851" i="1"/>
  <c r="R2851" i="1"/>
  <c r="S2851" i="1"/>
  <c r="N2852" i="1"/>
  <c r="R2852" i="1"/>
  <c r="S2852" i="1"/>
  <c r="N2853" i="1"/>
  <c r="R2853" i="1"/>
  <c r="S2853" i="1"/>
  <c r="N2854" i="1"/>
  <c r="R2854" i="1"/>
  <c r="S2854" i="1"/>
  <c r="N2855" i="1"/>
  <c r="R2855" i="1"/>
  <c r="S2855" i="1"/>
  <c r="N2856" i="1"/>
  <c r="R2856" i="1"/>
  <c r="S2856" i="1"/>
  <c r="N2857" i="1"/>
  <c r="R2857" i="1"/>
  <c r="S2857" i="1"/>
  <c r="N2858" i="1"/>
  <c r="R2858" i="1"/>
  <c r="S2858" i="1"/>
  <c r="N2859" i="1"/>
  <c r="R2859" i="1"/>
  <c r="S2859" i="1"/>
  <c r="N2860" i="1"/>
  <c r="R2860" i="1"/>
  <c r="S2860" i="1"/>
  <c r="N2861" i="1"/>
  <c r="R2861" i="1"/>
  <c r="S2861" i="1"/>
  <c r="N2862" i="1"/>
  <c r="R2862" i="1"/>
  <c r="S2862" i="1"/>
  <c r="N2863" i="1"/>
  <c r="R2863" i="1"/>
  <c r="S2863" i="1"/>
  <c r="N2864" i="1"/>
  <c r="R2864" i="1"/>
  <c r="S2864" i="1"/>
  <c r="N2865" i="1"/>
  <c r="R2865" i="1"/>
  <c r="S2865" i="1"/>
  <c r="N2866" i="1"/>
  <c r="R2866" i="1"/>
  <c r="S2866" i="1"/>
  <c r="N2867" i="1"/>
  <c r="R2867" i="1"/>
  <c r="S2867" i="1"/>
  <c r="N2868" i="1"/>
  <c r="R2868" i="1"/>
  <c r="S2868" i="1"/>
  <c r="N2869" i="1"/>
  <c r="R2869" i="1"/>
  <c r="S2869" i="1"/>
  <c r="N2870" i="1"/>
  <c r="R2870" i="1"/>
  <c r="S2870" i="1"/>
  <c r="N2871" i="1"/>
  <c r="R2871" i="1"/>
  <c r="S2871" i="1"/>
  <c r="N2872" i="1"/>
  <c r="R2872" i="1"/>
  <c r="S2872" i="1"/>
  <c r="N2873" i="1"/>
  <c r="R2873" i="1"/>
  <c r="S2873" i="1"/>
  <c r="N2874" i="1"/>
  <c r="R2874" i="1"/>
  <c r="S2874" i="1"/>
  <c r="N2875" i="1"/>
  <c r="R2875" i="1"/>
  <c r="S2875" i="1"/>
  <c r="N2876" i="1"/>
  <c r="R2876" i="1"/>
  <c r="S2876" i="1"/>
  <c r="N2877" i="1"/>
  <c r="R2877" i="1"/>
  <c r="S2877" i="1"/>
  <c r="N2878" i="1"/>
  <c r="R2878" i="1"/>
  <c r="S2878" i="1"/>
  <c r="N2879" i="1"/>
  <c r="R2879" i="1"/>
  <c r="S2879" i="1"/>
  <c r="N2880" i="1"/>
  <c r="R2880" i="1"/>
  <c r="S2880" i="1"/>
  <c r="N2881" i="1"/>
  <c r="R2881" i="1"/>
  <c r="S2881" i="1"/>
  <c r="N2882" i="1"/>
  <c r="R2882" i="1"/>
  <c r="S2882" i="1"/>
  <c r="N2883" i="1"/>
  <c r="R2883" i="1"/>
  <c r="S2883" i="1"/>
  <c r="N2884" i="1"/>
  <c r="R2884" i="1"/>
  <c r="S2884" i="1"/>
  <c r="N2885" i="1"/>
  <c r="R2885" i="1"/>
  <c r="S2885" i="1"/>
  <c r="N2886" i="1"/>
  <c r="R2886" i="1"/>
  <c r="S2886" i="1"/>
  <c r="N2887" i="1"/>
  <c r="R2887" i="1"/>
  <c r="S2887" i="1"/>
  <c r="N2888" i="1"/>
  <c r="R2888" i="1"/>
  <c r="S2888" i="1"/>
  <c r="N2889" i="1"/>
  <c r="R2889" i="1"/>
  <c r="S2889" i="1"/>
  <c r="N2890" i="1"/>
  <c r="R2890" i="1"/>
  <c r="S2890" i="1"/>
  <c r="N2891" i="1"/>
  <c r="R2891" i="1"/>
  <c r="S2891" i="1"/>
  <c r="N2892" i="1"/>
  <c r="R2892" i="1"/>
  <c r="S2892" i="1"/>
  <c r="N2893" i="1"/>
  <c r="R2893" i="1"/>
  <c r="S2893" i="1"/>
  <c r="N2894" i="1"/>
  <c r="R2894" i="1"/>
  <c r="S2894" i="1"/>
  <c r="N2895" i="1"/>
  <c r="R2895" i="1"/>
  <c r="S2895" i="1"/>
  <c r="N2896" i="1"/>
  <c r="R2896" i="1"/>
  <c r="S2896" i="1"/>
  <c r="N2897" i="1"/>
  <c r="R2897" i="1"/>
  <c r="S2897" i="1"/>
  <c r="N2898" i="1"/>
  <c r="R2898" i="1"/>
  <c r="S2898" i="1"/>
  <c r="N2899" i="1"/>
  <c r="R2899" i="1"/>
  <c r="S2899" i="1"/>
  <c r="N2900" i="1"/>
  <c r="R2900" i="1"/>
  <c r="S2900" i="1"/>
  <c r="N2901" i="1"/>
  <c r="R2901" i="1"/>
  <c r="S2901" i="1"/>
  <c r="N2902" i="1"/>
  <c r="R2902" i="1"/>
  <c r="S2902" i="1"/>
  <c r="N2903" i="1"/>
  <c r="R2903" i="1"/>
  <c r="S2903" i="1"/>
  <c r="N2904" i="1"/>
  <c r="R2904" i="1"/>
  <c r="S2904" i="1"/>
  <c r="N2905" i="1"/>
  <c r="R2905" i="1"/>
  <c r="S2905" i="1"/>
  <c r="N2906" i="1"/>
  <c r="R2906" i="1"/>
  <c r="S2906" i="1"/>
  <c r="N2907" i="1"/>
  <c r="R2907" i="1"/>
  <c r="S2907" i="1"/>
  <c r="N2908" i="1"/>
  <c r="R2908" i="1"/>
  <c r="S2908" i="1"/>
  <c r="N2909" i="1"/>
  <c r="R2909" i="1"/>
  <c r="S2909" i="1"/>
  <c r="N2910" i="1"/>
  <c r="R2910" i="1"/>
  <c r="S2910" i="1"/>
  <c r="N2911" i="1"/>
  <c r="R2911" i="1"/>
  <c r="S2911" i="1"/>
  <c r="N2912" i="1"/>
  <c r="R2912" i="1"/>
  <c r="S2912" i="1"/>
  <c r="N2913" i="1"/>
  <c r="R2913" i="1"/>
  <c r="S2913" i="1"/>
  <c r="N2914" i="1"/>
  <c r="R2914" i="1"/>
  <c r="S2914" i="1"/>
  <c r="N2915" i="1"/>
  <c r="R2915" i="1"/>
  <c r="S2915" i="1"/>
  <c r="N2916" i="1"/>
  <c r="R2916" i="1"/>
  <c r="S2916" i="1"/>
  <c r="N2917" i="1"/>
  <c r="R2917" i="1"/>
  <c r="S2917" i="1"/>
  <c r="N2918" i="1"/>
  <c r="R2918" i="1"/>
  <c r="S2918" i="1"/>
  <c r="N2919" i="1"/>
  <c r="R2919" i="1"/>
  <c r="S2919" i="1"/>
  <c r="N2920" i="1"/>
  <c r="R2920" i="1"/>
  <c r="S2920" i="1"/>
  <c r="N2921" i="1"/>
  <c r="R2921" i="1"/>
  <c r="S2921" i="1"/>
  <c r="N2922" i="1"/>
  <c r="R2922" i="1"/>
  <c r="S2922" i="1"/>
  <c r="N2923" i="1"/>
  <c r="R2923" i="1"/>
  <c r="S2923" i="1"/>
  <c r="N2924" i="1"/>
  <c r="R2924" i="1"/>
  <c r="S2924" i="1"/>
  <c r="N2925" i="1"/>
  <c r="R2925" i="1"/>
  <c r="S2925" i="1"/>
  <c r="N2926" i="1"/>
  <c r="R2926" i="1"/>
  <c r="S2926" i="1"/>
  <c r="N2927" i="1"/>
  <c r="R2927" i="1"/>
  <c r="S2927" i="1"/>
  <c r="N2928" i="1"/>
  <c r="R2928" i="1"/>
  <c r="S2928" i="1"/>
  <c r="N2929" i="1"/>
  <c r="R2929" i="1"/>
  <c r="S2929" i="1"/>
  <c r="N2930" i="1"/>
  <c r="R2930" i="1"/>
  <c r="S2930" i="1"/>
  <c r="N2931" i="1"/>
  <c r="R2931" i="1"/>
  <c r="S2931" i="1"/>
  <c r="N2932" i="1"/>
  <c r="R2932" i="1"/>
  <c r="S2932" i="1"/>
  <c r="N2933" i="1"/>
  <c r="R2933" i="1"/>
  <c r="S2933" i="1"/>
  <c r="N2934" i="1"/>
  <c r="R2934" i="1"/>
  <c r="S2934" i="1"/>
  <c r="N2935" i="1"/>
  <c r="R2935" i="1"/>
  <c r="S2935" i="1"/>
  <c r="N2936" i="1"/>
  <c r="R2936" i="1"/>
  <c r="S2936" i="1"/>
  <c r="N2937" i="1"/>
  <c r="R2937" i="1"/>
  <c r="S2937" i="1"/>
  <c r="N2938" i="1"/>
  <c r="R2938" i="1"/>
  <c r="S2938" i="1"/>
  <c r="N2939" i="1"/>
  <c r="R2939" i="1"/>
  <c r="S2939" i="1"/>
  <c r="N2940" i="1"/>
  <c r="R2940" i="1"/>
  <c r="S2940" i="1"/>
  <c r="N2941" i="1"/>
  <c r="R2941" i="1"/>
  <c r="S2941" i="1"/>
  <c r="N2942" i="1"/>
  <c r="R2942" i="1"/>
  <c r="S2942" i="1"/>
  <c r="N2943" i="1"/>
  <c r="R2943" i="1"/>
  <c r="S2943" i="1"/>
  <c r="N2944" i="1"/>
  <c r="R2944" i="1"/>
  <c r="S2944" i="1"/>
  <c r="N2945" i="1"/>
  <c r="R2945" i="1"/>
  <c r="S2945" i="1"/>
  <c r="N2946" i="1"/>
  <c r="R2946" i="1"/>
  <c r="S2946" i="1"/>
  <c r="N2947" i="1"/>
  <c r="R2947" i="1"/>
  <c r="S2947" i="1"/>
  <c r="N2948" i="1"/>
  <c r="R2948" i="1"/>
  <c r="S2948" i="1"/>
  <c r="N2949" i="1"/>
  <c r="R2949" i="1"/>
  <c r="S2949" i="1"/>
  <c r="N2950" i="1"/>
  <c r="R2950" i="1"/>
  <c r="S2950" i="1"/>
  <c r="N2951" i="1"/>
  <c r="R2951" i="1"/>
  <c r="S2951" i="1"/>
  <c r="N2952" i="1"/>
  <c r="R2952" i="1"/>
  <c r="S2952" i="1"/>
  <c r="N2953" i="1"/>
  <c r="R2953" i="1"/>
  <c r="S2953" i="1"/>
  <c r="N2954" i="1"/>
  <c r="R2954" i="1"/>
  <c r="S2954" i="1"/>
  <c r="N2955" i="1"/>
  <c r="R2955" i="1"/>
  <c r="S2955" i="1"/>
  <c r="N2956" i="1"/>
  <c r="R2956" i="1"/>
  <c r="S2956" i="1"/>
  <c r="N2957" i="1"/>
  <c r="R2957" i="1"/>
  <c r="S2957" i="1"/>
  <c r="N2958" i="1"/>
  <c r="R2958" i="1"/>
  <c r="S2958" i="1"/>
  <c r="N2959" i="1"/>
  <c r="R2959" i="1"/>
  <c r="S2959" i="1"/>
  <c r="N2960" i="1"/>
  <c r="R2960" i="1"/>
  <c r="S2960" i="1"/>
  <c r="N2961" i="1"/>
  <c r="R2961" i="1"/>
  <c r="S2961" i="1"/>
  <c r="N2962" i="1"/>
  <c r="R2962" i="1"/>
  <c r="S2962" i="1"/>
  <c r="N2963" i="1"/>
  <c r="R2963" i="1"/>
  <c r="S2963" i="1"/>
  <c r="N2964" i="1"/>
  <c r="R2964" i="1"/>
  <c r="S2964" i="1"/>
  <c r="N2965" i="1"/>
  <c r="R2965" i="1"/>
  <c r="S2965" i="1"/>
  <c r="N2966" i="1"/>
  <c r="R2966" i="1"/>
  <c r="S2966" i="1"/>
  <c r="N2967" i="1"/>
  <c r="R2967" i="1"/>
  <c r="S2967" i="1"/>
  <c r="N2968" i="1"/>
  <c r="R2968" i="1"/>
  <c r="S2968" i="1"/>
  <c r="N2969" i="1"/>
  <c r="R2969" i="1"/>
  <c r="S2969" i="1"/>
  <c r="N2970" i="1"/>
  <c r="R2970" i="1"/>
  <c r="S2970" i="1"/>
  <c r="N2971" i="1"/>
  <c r="R2971" i="1"/>
  <c r="S2971" i="1"/>
  <c r="N2972" i="1"/>
  <c r="R2972" i="1"/>
  <c r="S2972" i="1"/>
  <c r="N2973" i="1"/>
  <c r="R2973" i="1"/>
  <c r="S2973" i="1"/>
  <c r="N2974" i="1"/>
  <c r="R2974" i="1"/>
  <c r="S2974" i="1"/>
  <c r="N2975" i="1"/>
  <c r="R2975" i="1"/>
  <c r="S2975" i="1"/>
  <c r="N2976" i="1"/>
  <c r="R2976" i="1"/>
  <c r="S2976" i="1"/>
  <c r="N2977" i="1"/>
  <c r="R2977" i="1"/>
  <c r="S2977" i="1"/>
  <c r="N2978" i="1"/>
  <c r="R2978" i="1"/>
  <c r="S2978" i="1"/>
  <c r="N2979" i="1"/>
  <c r="R2979" i="1"/>
  <c r="S2979" i="1"/>
  <c r="N2980" i="1"/>
  <c r="R2980" i="1"/>
  <c r="S2980" i="1"/>
  <c r="N2981" i="1"/>
  <c r="R2981" i="1"/>
  <c r="S2981" i="1"/>
  <c r="N2982" i="1"/>
  <c r="R2982" i="1"/>
  <c r="S2982" i="1"/>
  <c r="N2983" i="1"/>
  <c r="R2983" i="1"/>
  <c r="S2983" i="1"/>
  <c r="N2984" i="1"/>
  <c r="R2984" i="1"/>
  <c r="S2984" i="1"/>
  <c r="N2985" i="1"/>
  <c r="R2985" i="1"/>
  <c r="S2985" i="1"/>
  <c r="N2986" i="1"/>
  <c r="R2986" i="1"/>
  <c r="S2986" i="1"/>
  <c r="N2987" i="1"/>
  <c r="R2987" i="1"/>
  <c r="S2987" i="1"/>
  <c r="N2988" i="1"/>
  <c r="R2988" i="1"/>
  <c r="S2988" i="1"/>
  <c r="N2989" i="1"/>
  <c r="R2989" i="1"/>
  <c r="S2989" i="1"/>
  <c r="N2990" i="1"/>
  <c r="R2990" i="1"/>
  <c r="S2990" i="1"/>
  <c r="N2991" i="1"/>
  <c r="R2991" i="1"/>
  <c r="S2991" i="1"/>
  <c r="N2992" i="1"/>
  <c r="R2992" i="1"/>
  <c r="S2992" i="1"/>
  <c r="N2993" i="1"/>
  <c r="R2993" i="1"/>
  <c r="S2993" i="1"/>
  <c r="N2994" i="1"/>
  <c r="R2994" i="1"/>
  <c r="S2994" i="1"/>
  <c r="N2995" i="1"/>
  <c r="R2995" i="1"/>
  <c r="S2995" i="1"/>
  <c r="N2996" i="1"/>
  <c r="R2996" i="1"/>
  <c r="S2996" i="1"/>
  <c r="N2997" i="1"/>
  <c r="R2997" i="1"/>
  <c r="S2997" i="1"/>
  <c r="N2998" i="1"/>
  <c r="R2998" i="1"/>
  <c r="S2998" i="1"/>
  <c r="N2999" i="1"/>
  <c r="R2999" i="1"/>
  <c r="S2999" i="1"/>
  <c r="N3000" i="1"/>
  <c r="R3000" i="1"/>
  <c r="S3000" i="1"/>
  <c r="N3001" i="1"/>
  <c r="R3001" i="1"/>
  <c r="S3001" i="1"/>
  <c r="N3002" i="1"/>
  <c r="R3002" i="1"/>
  <c r="S3002" i="1"/>
  <c r="N3003" i="1"/>
  <c r="R3003" i="1"/>
  <c r="S3003" i="1"/>
  <c r="N3004" i="1"/>
  <c r="R3004" i="1"/>
  <c r="S3004" i="1"/>
  <c r="N3005" i="1"/>
  <c r="R3005" i="1"/>
  <c r="S3005" i="1"/>
  <c r="N3006" i="1"/>
  <c r="R3006" i="1"/>
  <c r="S3006" i="1"/>
  <c r="N3007" i="1"/>
  <c r="R3007" i="1"/>
  <c r="S3007" i="1"/>
  <c r="N3008" i="1"/>
  <c r="R3008" i="1"/>
  <c r="S3008" i="1"/>
  <c r="N3009" i="1"/>
  <c r="R3009" i="1"/>
  <c r="S3009" i="1"/>
  <c r="N3010" i="1"/>
  <c r="R3010" i="1"/>
  <c r="S3010" i="1"/>
  <c r="N3011" i="1"/>
  <c r="R3011" i="1"/>
  <c r="S3011" i="1"/>
  <c r="N3012" i="1"/>
  <c r="R3012" i="1"/>
  <c r="S3012" i="1"/>
  <c r="N3013" i="1"/>
  <c r="R3013" i="1"/>
  <c r="S3013" i="1"/>
  <c r="C3014" i="1"/>
  <c r="N3014" i="1"/>
  <c r="R3014" i="1"/>
  <c r="S3014" i="1"/>
  <c r="C3015" i="1"/>
  <c r="N3015" i="1"/>
  <c r="R3015" i="1"/>
  <c r="S3015" i="1"/>
  <c r="N3016" i="1"/>
  <c r="R3016" i="1"/>
  <c r="S3016" i="1"/>
  <c r="N3017" i="1"/>
  <c r="R3017" i="1"/>
  <c r="S3017" i="1"/>
  <c r="N3018" i="1"/>
  <c r="R3018" i="1"/>
  <c r="S3018" i="1"/>
  <c r="N3019" i="1"/>
  <c r="R3019" i="1"/>
  <c r="S3019" i="1"/>
  <c r="N3020" i="1"/>
  <c r="R3020" i="1"/>
  <c r="S3020" i="1"/>
  <c r="N3021" i="1"/>
  <c r="R3021" i="1"/>
  <c r="S3021" i="1"/>
  <c r="N3022" i="1"/>
  <c r="R3022" i="1"/>
  <c r="S3022" i="1"/>
  <c r="N3023" i="1"/>
  <c r="R3023" i="1"/>
  <c r="S3023" i="1"/>
  <c r="N3024" i="1"/>
  <c r="R3024" i="1"/>
  <c r="S3024" i="1"/>
  <c r="N3025" i="1"/>
  <c r="R3025" i="1"/>
  <c r="S3025" i="1"/>
  <c r="N3026" i="1"/>
  <c r="R3026" i="1"/>
  <c r="S3026" i="1"/>
  <c r="N3027" i="1"/>
  <c r="R3027" i="1"/>
  <c r="S3027" i="1"/>
  <c r="N3028" i="1"/>
  <c r="R3028" i="1"/>
  <c r="S3028" i="1"/>
  <c r="N3029" i="1"/>
  <c r="R3029" i="1"/>
  <c r="S3029" i="1"/>
  <c r="N3030" i="1"/>
  <c r="R3030" i="1"/>
  <c r="S3030" i="1"/>
  <c r="N3031" i="1"/>
  <c r="R3031" i="1"/>
  <c r="S3031" i="1"/>
  <c r="N3032" i="1"/>
  <c r="R3032" i="1"/>
  <c r="S3032" i="1"/>
  <c r="N3033" i="1"/>
  <c r="R3033" i="1"/>
  <c r="S3033" i="1"/>
  <c r="N3034" i="1"/>
  <c r="R3034" i="1"/>
  <c r="S3034" i="1"/>
  <c r="N3035" i="1"/>
  <c r="R3035" i="1"/>
  <c r="S3035" i="1"/>
  <c r="N3036" i="1"/>
  <c r="R3036" i="1"/>
  <c r="S3036" i="1"/>
  <c r="N3037" i="1"/>
  <c r="R3037" i="1"/>
  <c r="S3037" i="1"/>
  <c r="N3038" i="1"/>
  <c r="R3038" i="1"/>
  <c r="S3038" i="1"/>
  <c r="N3039" i="1"/>
  <c r="R3039" i="1"/>
  <c r="S3039" i="1"/>
  <c r="N3040" i="1"/>
  <c r="R3040" i="1"/>
  <c r="S3040" i="1"/>
  <c r="N3041" i="1"/>
  <c r="R3041" i="1"/>
  <c r="S3041" i="1"/>
  <c r="N3042" i="1"/>
  <c r="R3042" i="1"/>
  <c r="S3042" i="1"/>
  <c r="N3043" i="1"/>
  <c r="R3043" i="1"/>
  <c r="S3043" i="1"/>
  <c r="N3044" i="1"/>
  <c r="R3044" i="1"/>
  <c r="S3044" i="1"/>
  <c r="N3045" i="1"/>
  <c r="R3045" i="1"/>
  <c r="S3045" i="1"/>
  <c r="N3046" i="1"/>
  <c r="R3046" i="1"/>
  <c r="S3046" i="1"/>
  <c r="N3047" i="1"/>
  <c r="R3047" i="1"/>
  <c r="S3047" i="1"/>
  <c r="N3048" i="1"/>
  <c r="R3048" i="1"/>
  <c r="S3048" i="1"/>
  <c r="N3049" i="1"/>
  <c r="R3049" i="1"/>
  <c r="S3049" i="1"/>
  <c r="N3050" i="1"/>
  <c r="R3050" i="1"/>
  <c r="S3050" i="1"/>
  <c r="N3051" i="1"/>
  <c r="R3051" i="1"/>
  <c r="S3051" i="1"/>
  <c r="N3052" i="1"/>
  <c r="R3052" i="1"/>
  <c r="S3052" i="1"/>
  <c r="N3053" i="1"/>
  <c r="R3053" i="1"/>
  <c r="S3053" i="1"/>
  <c r="N3054" i="1"/>
  <c r="R3054" i="1"/>
  <c r="S3054" i="1"/>
  <c r="N3055" i="1"/>
  <c r="R3055" i="1"/>
  <c r="S3055" i="1"/>
  <c r="N3056" i="1"/>
  <c r="R3056" i="1"/>
  <c r="S3056" i="1"/>
  <c r="N3057" i="1"/>
  <c r="R3057" i="1"/>
  <c r="S3057" i="1"/>
  <c r="N3058" i="1"/>
  <c r="R3058" i="1"/>
  <c r="S3058" i="1"/>
  <c r="N3059" i="1"/>
  <c r="R3059" i="1"/>
  <c r="S3059" i="1"/>
  <c r="N3060" i="1"/>
  <c r="R3060" i="1"/>
  <c r="S3060" i="1"/>
  <c r="N3061" i="1"/>
  <c r="R3061" i="1"/>
  <c r="S3061" i="1"/>
  <c r="N3062" i="1"/>
  <c r="R3062" i="1"/>
  <c r="S3062" i="1"/>
  <c r="N3063" i="1"/>
  <c r="R3063" i="1"/>
  <c r="S3063" i="1"/>
  <c r="N3064" i="1"/>
  <c r="R3064" i="1"/>
  <c r="S3064" i="1"/>
  <c r="N3065" i="1"/>
  <c r="R3065" i="1"/>
  <c r="S3065" i="1"/>
  <c r="N3066" i="1"/>
  <c r="R3066" i="1"/>
  <c r="S3066" i="1"/>
  <c r="N3067" i="1"/>
  <c r="R3067" i="1"/>
  <c r="S3067" i="1"/>
  <c r="N3068" i="1"/>
  <c r="R3068" i="1"/>
  <c r="S3068" i="1"/>
  <c r="N3069" i="1"/>
  <c r="R3069" i="1"/>
  <c r="S3069" i="1"/>
  <c r="N3070" i="1"/>
  <c r="R3070" i="1"/>
  <c r="S3070" i="1"/>
  <c r="N3071" i="1"/>
  <c r="R3071" i="1"/>
  <c r="S3071" i="1"/>
  <c r="N3072" i="1"/>
  <c r="R3072" i="1"/>
  <c r="S3072" i="1"/>
  <c r="N3073" i="1"/>
  <c r="R3073" i="1"/>
  <c r="S3073" i="1"/>
  <c r="N3074" i="1"/>
  <c r="R3074" i="1"/>
  <c r="S3074" i="1"/>
  <c r="N3075" i="1"/>
  <c r="R3075" i="1"/>
  <c r="S3075" i="1"/>
  <c r="N3076" i="1"/>
  <c r="R3076" i="1"/>
  <c r="S3076" i="1"/>
  <c r="N3077" i="1"/>
  <c r="R3077" i="1"/>
  <c r="S3077" i="1"/>
  <c r="N3078" i="1"/>
  <c r="R3078" i="1"/>
  <c r="S3078" i="1"/>
  <c r="N3079" i="1"/>
  <c r="R3079" i="1"/>
  <c r="S3079" i="1"/>
  <c r="N3080" i="1"/>
  <c r="R3080" i="1"/>
  <c r="S3080" i="1"/>
  <c r="N3081" i="1"/>
  <c r="R3081" i="1"/>
  <c r="S3081" i="1"/>
  <c r="N3082" i="1"/>
  <c r="R3082" i="1"/>
  <c r="S3082" i="1"/>
  <c r="N3083" i="1"/>
  <c r="R3083" i="1"/>
  <c r="S3083" i="1"/>
  <c r="N3084" i="1"/>
  <c r="R3084" i="1"/>
  <c r="S3084" i="1"/>
  <c r="N3085" i="1"/>
  <c r="R3085" i="1"/>
  <c r="S3085" i="1"/>
  <c r="N3086" i="1"/>
  <c r="R3086" i="1"/>
  <c r="S3086" i="1"/>
  <c r="N3087" i="1"/>
  <c r="R3087" i="1"/>
  <c r="S3087" i="1"/>
  <c r="N3088" i="1"/>
  <c r="R3088" i="1"/>
  <c r="S3088" i="1"/>
  <c r="N3089" i="1"/>
  <c r="R3089" i="1"/>
  <c r="S3089" i="1"/>
  <c r="N3090" i="1"/>
  <c r="R3090" i="1"/>
  <c r="S3090" i="1"/>
  <c r="N3091" i="1"/>
  <c r="R3091" i="1"/>
  <c r="S3091" i="1"/>
  <c r="N3092" i="1"/>
  <c r="R3092" i="1"/>
  <c r="S3092" i="1"/>
  <c r="N3093" i="1"/>
  <c r="R3093" i="1"/>
  <c r="S3093" i="1"/>
  <c r="N3094" i="1"/>
  <c r="R3094" i="1"/>
  <c r="S3094" i="1"/>
  <c r="N3095" i="1"/>
  <c r="R3095" i="1"/>
  <c r="S3095" i="1"/>
  <c r="N3096" i="1"/>
  <c r="R3096" i="1"/>
  <c r="S3096" i="1"/>
  <c r="N3097" i="1"/>
  <c r="R3097" i="1"/>
  <c r="S3097" i="1"/>
  <c r="N3098" i="1"/>
  <c r="R3098" i="1"/>
  <c r="S3098" i="1"/>
  <c r="N3099" i="1"/>
  <c r="R3099" i="1"/>
  <c r="S3099" i="1"/>
  <c r="N3100" i="1"/>
  <c r="R3100" i="1"/>
  <c r="S3100" i="1"/>
  <c r="N3101" i="1"/>
  <c r="R3101" i="1"/>
  <c r="S3101" i="1"/>
  <c r="N3102" i="1"/>
  <c r="R3102" i="1"/>
  <c r="S3102" i="1"/>
  <c r="N3103" i="1"/>
  <c r="R3103" i="1"/>
  <c r="S3103" i="1"/>
  <c r="N3104" i="1"/>
  <c r="R3104" i="1"/>
  <c r="S3104" i="1"/>
  <c r="N3105" i="1"/>
  <c r="R3105" i="1"/>
  <c r="S3105" i="1"/>
  <c r="N3106" i="1"/>
  <c r="R3106" i="1"/>
  <c r="S3106" i="1"/>
  <c r="N3107" i="1"/>
  <c r="R3107" i="1"/>
  <c r="S3107" i="1"/>
  <c r="N3108" i="1"/>
  <c r="R3108" i="1"/>
  <c r="S3108" i="1"/>
  <c r="N3109" i="1"/>
  <c r="R3109" i="1"/>
  <c r="S3109" i="1"/>
  <c r="N3110" i="1"/>
  <c r="R3110" i="1"/>
  <c r="S3110" i="1"/>
  <c r="N3111" i="1"/>
  <c r="R3111" i="1"/>
  <c r="S3111" i="1"/>
  <c r="N3112" i="1"/>
  <c r="R3112" i="1"/>
  <c r="S3112" i="1"/>
  <c r="N3113" i="1"/>
  <c r="R3113" i="1"/>
  <c r="S3113" i="1"/>
  <c r="N3114" i="1"/>
  <c r="R3114" i="1"/>
  <c r="S3114" i="1"/>
  <c r="N3115" i="1"/>
  <c r="R3115" i="1"/>
  <c r="S3115" i="1"/>
  <c r="N3116" i="1"/>
  <c r="R3116" i="1"/>
  <c r="S3116" i="1"/>
  <c r="N3117" i="1"/>
  <c r="R3117" i="1"/>
  <c r="S3117" i="1"/>
  <c r="N3118" i="1"/>
  <c r="R3118" i="1"/>
  <c r="S3118" i="1"/>
  <c r="N3119" i="1"/>
  <c r="R3119" i="1"/>
  <c r="S3119" i="1"/>
  <c r="N3120" i="1"/>
  <c r="R3120" i="1"/>
  <c r="S3120" i="1"/>
  <c r="N3121" i="1"/>
  <c r="R3121" i="1"/>
  <c r="S3121" i="1"/>
  <c r="N3122" i="1"/>
  <c r="R3122" i="1"/>
  <c r="S3122" i="1"/>
  <c r="N3123" i="1"/>
  <c r="R3123" i="1"/>
  <c r="S3123" i="1"/>
  <c r="N3124" i="1"/>
  <c r="R3124" i="1"/>
  <c r="S3124" i="1"/>
  <c r="N3125" i="1"/>
  <c r="R3125" i="1"/>
  <c r="S3125" i="1"/>
  <c r="N3126" i="1"/>
  <c r="R3126" i="1"/>
  <c r="S3126" i="1"/>
  <c r="N3127" i="1"/>
  <c r="S3127" i="1"/>
  <c r="N3128" i="1"/>
  <c r="R3128" i="1"/>
  <c r="S3128" i="1"/>
  <c r="N3129" i="1"/>
  <c r="R3129" i="1"/>
  <c r="S3129" i="1"/>
  <c r="N3130" i="1"/>
  <c r="R3130" i="1"/>
  <c r="S3130" i="1"/>
  <c r="N3131" i="1"/>
  <c r="R3131" i="1"/>
  <c r="S3131" i="1"/>
  <c r="N3132" i="1"/>
  <c r="R3132" i="1"/>
  <c r="S3132" i="1"/>
  <c r="N3133" i="1"/>
  <c r="R3133" i="1"/>
  <c r="S3133" i="1"/>
  <c r="N3134" i="1"/>
  <c r="R3134" i="1"/>
  <c r="S3134" i="1"/>
  <c r="N3135" i="1"/>
  <c r="R3135" i="1"/>
  <c r="S3135" i="1"/>
  <c r="N3136" i="1"/>
  <c r="R3136" i="1"/>
  <c r="S3136" i="1"/>
  <c r="N3137" i="1"/>
  <c r="R3137" i="1"/>
  <c r="S3137" i="1"/>
  <c r="N3138" i="1"/>
  <c r="R3138" i="1"/>
  <c r="S3138" i="1"/>
  <c r="N3139" i="1"/>
  <c r="R3139" i="1"/>
  <c r="S3139" i="1"/>
  <c r="N3140" i="1"/>
  <c r="R3140" i="1"/>
  <c r="S3140" i="1"/>
  <c r="N3141" i="1"/>
  <c r="R3141" i="1"/>
  <c r="S3141" i="1"/>
  <c r="N3142" i="1"/>
  <c r="R3142" i="1"/>
  <c r="S3142" i="1"/>
  <c r="N3143" i="1"/>
  <c r="R3143" i="1"/>
  <c r="S3143" i="1"/>
  <c r="N3144" i="1"/>
  <c r="R3144" i="1"/>
  <c r="S3144" i="1"/>
  <c r="N3145" i="1"/>
  <c r="S3145" i="1"/>
  <c r="N3146" i="1"/>
  <c r="R3146" i="1"/>
  <c r="S3146" i="1"/>
  <c r="N3147" i="1"/>
  <c r="N3148" i="1"/>
  <c r="R3148" i="1"/>
  <c r="S3148" i="1"/>
  <c r="N3149" i="1"/>
  <c r="R3149" i="1"/>
  <c r="S3149" i="1"/>
  <c r="N3150" i="1"/>
  <c r="R3150" i="1"/>
  <c r="S3150" i="1"/>
  <c r="N3151" i="1"/>
  <c r="R3151" i="1"/>
  <c r="S3151" i="1"/>
  <c r="N3152" i="1"/>
  <c r="R3152" i="1"/>
  <c r="S3152" i="1"/>
  <c r="N3153" i="1"/>
  <c r="R3153" i="1"/>
  <c r="S3153" i="1"/>
  <c r="N3154" i="1"/>
  <c r="R3154" i="1"/>
  <c r="S3154" i="1"/>
  <c r="N3155" i="1"/>
  <c r="R3155" i="1"/>
  <c r="S3155" i="1"/>
  <c r="N3156" i="1"/>
  <c r="S3156" i="1"/>
  <c r="N3157" i="1"/>
  <c r="R3157" i="1"/>
  <c r="S3157" i="1"/>
  <c r="N3158" i="1"/>
  <c r="S3158" i="1"/>
  <c r="N3159" i="1"/>
  <c r="R3159" i="1"/>
  <c r="S3159" i="1"/>
  <c r="N3160" i="1"/>
  <c r="R3160" i="1"/>
  <c r="S3160" i="1"/>
  <c r="N3161" i="1"/>
  <c r="R3161" i="1"/>
  <c r="S3161" i="1"/>
  <c r="N3162" i="1"/>
  <c r="R3162" i="1"/>
  <c r="S3162" i="1"/>
  <c r="N3163" i="1"/>
  <c r="R3163" i="1"/>
  <c r="S3163" i="1"/>
  <c r="N3164" i="1"/>
  <c r="R3164" i="1"/>
  <c r="S3164" i="1"/>
  <c r="N3165" i="1"/>
  <c r="R3165" i="1"/>
  <c r="S3165" i="1"/>
  <c r="N3166" i="1"/>
  <c r="R3166" i="1"/>
  <c r="S3166" i="1"/>
  <c r="N3167" i="1"/>
  <c r="R3167" i="1"/>
  <c r="S3167" i="1"/>
  <c r="N3168" i="1"/>
  <c r="R3168" i="1"/>
  <c r="S3168" i="1"/>
  <c r="N3169" i="1"/>
  <c r="R3169" i="1"/>
  <c r="S3169" i="1"/>
  <c r="N3170" i="1"/>
  <c r="R3170" i="1"/>
  <c r="S3170" i="1"/>
  <c r="N3171" i="1"/>
  <c r="R3171" i="1"/>
  <c r="S3171" i="1"/>
  <c r="N3172" i="1"/>
  <c r="R3172" i="1"/>
  <c r="S3172" i="1"/>
  <c r="N3173" i="1"/>
  <c r="R3173" i="1"/>
  <c r="S3173" i="1"/>
  <c r="N3174" i="1"/>
  <c r="R3174" i="1"/>
  <c r="S3174" i="1"/>
  <c r="N3175" i="1"/>
  <c r="R3175" i="1"/>
  <c r="S3175" i="1"/>
  <c r="N3176" i="1"/>
  <c r="R3176" i="1"/>
  <c r="S3176" i="1"/>
  <c r="N3177" i="1"/>
  <c r="R3177" i="1"/>
  <c r="S3177" i="1"/>
  <c r="N3178" i="1"/>
  <c r="R3178" i="1"/>
  <c r="S3178" i="1"/>
  <c r="N3179" i="1"/>
  <c r="R3179" i="1"/>
  <c r="S3179" i="1"/>
  <c r="N3180" i="1"/>
  <c r="R3180" i="1"/>
  <c r="S3180" i="1"/>
  <c r="N3181" i="1"/>
  <c r="R3181" i="1"/>
  <c r="S3181" i="1"/>
  <c r="N3182" i="1"/>
  <c r="R3182" i="1"/>
  <c r="S3182" i="1"/>
  <c r="N3183" i="1"/>
  <c r="R3183" i="1"/>
  <c r="S3183" i="1"/>
  <c r="N3184" i="1"/>
  <c r="R3184" i="1"/>
  <c r="S3184" i="1"/>
  <c r="N3185" i="1"/>
  <c r="R3185" i="1"/>
  <c r="S3185" i="1"/>
  <c r="N3186" i="1"/>
  <c r="R3186" i="1"/>
  <c r="S3186" i="1"/>
  <c r="N3187" i="1"/>
  <c r="R3187" i="1"/>
  <c r="S3187" i="1"/>
  <c r="N3188" i="1"/>
  <c r="R3188" i="1"/>
  <c r="S3188" i="1"/>
  <c r="N3189" i="1"/>
  <c r="R3189" i="1"/>
  <c r="S3189" i="1"/>
  <c r="N3190" i="1"/>
  <c r="R3190" i="1"/>
  <c r="S3190" i="1"/>
  <c r="N3191" i="1"/>
  <c r="R3191" i="1"/>
  <c r="S3191" i="1"/>
  <c r="N3192" i="1"/>
  <c r="R3192" i="1"/>
  <c r="S3192" i="1"/>
  <c r="N3193" i="1"/>
  <c r="R3193" i="1"/>
  <c r="S3193" i="1"/>
  <c r="N3194" i="1"/>
  <c r="R3194" i="1"/>
  <c r="S3194" i="1"/>
  <c r="N3195" i="1"/>
  <c r="R3195" i="1"/>
  <c r="S3195" i="1"/>
  <c r="N3196" i="1"/>
  <c r="R3196" i="1"/>
  <c r="S3196" i="1"/>
  <c r="N3197" i="1"/>
  <c r="R3197" i="1"/>
  <c r="S3197" i="1"/>
  <c r="N3198" i="1"/>
  <c r="R3198" i="1"/>
  <c r="S3198" i="1"/>
  <c r="N3199" i="1"/>
  <c r="R3199" i="1"/>
  <c r="S3199" i="1"/>
  <c r="N3200" i="1"/>
  <c r="R3200" i="1"/>
  <c r="S3200" i="1"/>
  <c r="N3201" i="1"/>
  <c r="R3201" i="1"/>
  <c r="S3201" i="1"/>
  <c r="N3202" i="1"/>
  <c r="R3202" i="1"/>
  <c r="S3202" i="1"/>
  <c r="N3203" i="1"/>
  <c r="R3203" i="1"/>
  <c r="S3203" i="1"/>
  <c r="N3204" i="1"/>
  <c r="R3204" i="1"/>
  <c r="S3204" i="1"/>
  <c r="N3205" i="1"/>
  <c r="R3205" i="1"/>
  <c r="S3205" i="1"/>
  <c r="N3206" i="1"/>
  <c r="R3206" i="1"/>
  <c r="S3206" i="1"/>
  <c r="N3207" i="1"/>
  <c r="R3207" i="1"/>
  <c r="S3207" i="1"/>
  <c r="N3208" i="1"/>
  <c r="R3208" i="1"/>
  <c r="S3208" i="1"/>
  <c r="N3209" i="1"/>
  <c r="R3209" i="1"/>
  <c r="S3209" i="1"/>
  <c r="N3210" i="1"/>
  <c r="R3210" i="1"/>
  <c r="S3210" i="1"/>
  <c r="N3211" i="1"/>
  <c r="R3211" i="1"/>
  <c r="S3211" i="1"/>
  <c r="N3212" i="1"/>
  <c r="R3212" i="1"/>
  <c r="S3212" i="1"/>
  <c r="N3213" i="1"/>
  <c r="R3213" i="1"/>
  <c r="S3213" i="1"/>
  <c r="N3214" i="1"/>
  <c r="R3214" i="1"/>
  <c r="S3214" i="1"/>
  <c r="N3215" i="1"/>
  <c r="R3215" i="1"/>
  <c r="S3215" i="1"/>
  <c r="N3216" i="1"/>
  <c r="R3216" i="1"/>
  <c r="S3216" i="1"/>
  <c r="N3217" i="1"/>
  <c r="R3217" i="1"/>
  <c r="S3217" i="1"/>
  <c r="N3218" i="1"/>
  <c r="R3218" i="1"/>
  <c r="S3218" i="1"/>
  <c r="N3219" i="1"/>
  <c r="R3219" i="1"/>
  <c r="S3219" i="1"/>
  <c r="N3220" i="1"/>
  <c r="R3220" i="1"/>
  <c r="S3220" i="1"/>
  <c r="N3221" i="1"/>
  <c r="R3221" i="1"/>
  <c r="S3221" i="1"/>
  <c r="N3222" i="1"/>
  <c r="R3222" i="1"/>
  <c r="S3222" i="1"/>
  <c r="N3223" i="1"/>
  <c r="R3223" i="1"/>
  <c r="S3223" i="1"/>
  <c r="N3224" i="1"/>
  <c r="R3224" i="1"/>
  <c r="S3224" i="1"/>
  <c r="N3225" i="1"/>
  <c r="R3225" i="1"/>
  <c r="S3225" i="1"/>
  <c r="N3226" i="1"/>
  <c r="R3226" i="1"/>
  <c r="S3226" i="1"/>
  <c r="N3227" i="1"/>
  <c r="R3227" i="1"/>
  <c r="S3227" i="1"/>
  <c r="N3228" i="1"/>
  <c r="R3228" i="1"/>
  <c r="S3228" i="1"/>
  <c r="N3229" i="1"/>
  <c r="R3229" i="1"/>
  <c r="S3229" i="1"/>
  <c r="N3230" i="1"/>
  <c r="R3230" i="1"/>
  <c r="S3230" i="1"/>
  <c r="N3231" i="1"/>
  <c r="R3231" i="1"/>
  <c r="S3231" i="1"/>
  <c r="N3232" i="1"/>
  <c r="R3232" i="1"/>
  <c r="S3232" i="1"/>
  <c r="N3233" i="1"/>
  <c r="R3233" i="1"/>
  <c r="S3233" i="1"/>
  <c r="N3234" i="1"/>
  <c r="S3234" i="1"/>
  <c r="N3235" i="1"/>
  <c r="S3235" i="1"/>
  <c r="N3236" i="1"/>
  <c r="R3236" i="1"/>
  <c r="S3236" i="1"/>
  <c r="N3237" i="1"/>
  <c r="S3237" i="1"/>
  <c r="N3238" i="1"/>
  <c r="R3238" i="1"/>
  <c r="S3238" i="1"/>
  <c r="N3239" i="1"/>
  <c r="R3239" i="1"/>
  <c r="S3239" i="1"/>
  <c r="N3240" i="1"/>
  <c r="R3240" i="1"/>
  <c r="S3240" i="1"/>
  <c r="N3241" i="1"/>
  <c r="R3241" i="1"/>
  <c r="S3241" i="1"/>
  <c r="N3242" i="1"/>
  <c r="R3242" i="1"/>
  <c r="S3242" i="1"/>
  <c r="N3243" i="1"/>
  <c r="R3243" i="1"/>
  <c r="S3243" i="1"/>
  <c r="N3244" i="1"/>
  <c r="R3244" i="1"/>
  <c r="S3244" i="1"/>
  <c r="N3245" i="1"/>
  <c r="R3245" i="1"/>
  <c r="S3245" i="1"/>
  <c r="N3246" i="1"/>
  <c r="R3246" i="1"/>
  <c r="S3246" i="1"/>
  <c r="N3247" i="1"/>
  <c r="R3247" i="1"/>
  <c r="S3247" i="1"/>
  <c r="N3248" i="1"/>
  <c r="R3248" i="1"/>
  <c r="S3248" i="1"/>
  <c r="N3249" i="1"/>
  <c r="R3249" i="1"/>
  <c r="S3249" i="1"/>
  <c r="N3250" i="1"/>
  <c r="R3250" i="1"/>
  <c r="S3250" i="1"/>
  <c r="N3251" i="1"/>
  <c r="R3251" i="1"/>
  <c r="S3251" i="1"/>
  <c r="N3252" i="1"/>
  <c r="R3252" i="1"/>
  <c r="S3252" i="1"/>
  <c r="N3253" i="1"/>
  <c r="R3253" i="1"/>
  <c r="S3253" i="1"/>
  <c r="N3254" i="1"/>
  <c r="R3254" i="1"/>
  <c r="S3254" i="1"/>
  <c r="N3255" i="1"/>
  <c r="R3255" i="1"/>
  <c r="S3255" i="1"/>
  <c r="N3256" i="1"/>
  <c r="R3256" i="1"/>
  <c r="S3256" i="1"/>
  <c r="N3257" i="1"/>
  <c r="R3257" i="1"/>
  <c r="S3257" i="1"/>
  <c r="N3258" i="1"/>
  <c r="R3258" i="1"/>
  <c r="S3258" i="1"/>
  <c r="N3259" i="1"/>
  <c r="R3259" i="1"/>
  <c r="S3259" i="1"/>
  <c r="N3260" i="1"/>
  <c r="R3260" i="1"/>
  <c r="S3260" i="1"/>
  <c r="N3261" i="1"/>
  <c r="R3261" i="1"/>
  <c r="S3261" i="1"/>
  <c r="N3262" i="1"/>
  <c r="R3262" i="1"/>
  <c r="S3262" i="1"/>
  <c r="N3263" i="1"/>
  <c r="R3263" i="1"/>
  <c r="S3263" i="1"/>
  <c r="N3264" i="1"/>
  <c r="R3264" i="1"/>
  <c r="S3264" i="1"/>
  <c r="N3265" i="1"/>
  <c r="R3265" i="1"/>
  <c r="S3265" i="1"/>
  <c r="N3266" i="1"/>
  <c r="R3266" i="1"/>
  <c r="S3266" i="1"/>
  <c r="N3267" i="1"/>
  <c r="R3267" i="1"/>
  <c r="S3267" i="1"/>
  <c r="N3268" i="1"/>
  <c r="R3268" i="1"/>
  <c r="S3268" i="1"/>
  <c r="N3269" i="1"/>
  <c r="R3269" i="1"/>
  <c r="S3269" i="1"/>
  <c r="N3270" i="1"/>
  <c r="R3270" i="1"/>
  <c r="S3270" i="1"/>
  <c r="N3271" i="1"/>
  <c r="R3271" i="1"/>
  <c r="S3271" i="1"/>
  <c r="N3272" i="1"/>
  <c r="R3272" i="1"/>
  <c r="S3272" i="1"/>
  <c r="N3273" i="1"/>
  <c r="R3273" i="1"/>
  <c r="S3273" i="1"/>
  <c r="N3274" i="1"/>
  <c r="R3274" i="1"/>
  <c r="S3274" i="1"/>
  <c r="N3275" i="1"/>
  <c r="R3275" i="1"/>
  <c r="S3275" i="1"/>
  <c r="N3276" i="1"/>
  <c r="R3276" i="1"/>
  <c r="S3276" i="1"/>
  <c r="N3277" i="1"/>
  <c r="R3277" i="1"/>
  <c r="S3277" i="1"/>
  <c r="N3278" i="1"/>
  <c r="R3278" i="1"/>
  <c r="S3278" i="1"/>
  <c r="N3279" i="1"/>
  <c r="R3279" i="1"/>
  <c r="S3279" i="1"/>
  <c r="N3280" i="1"/>
  <c r="R3280" i="1"/>
  <c r="S3280" i="1"/>
  <c r="N3281" i="1"/>
  <c r="R3281" i="1"/>
  <c r="S3281" i="1"/>
  <c r="N3282" i="1"/>
  <c r="R3282" i="1"/>
  <c r="S3282" i="1"/>
  <c r="N3283" i="1"/>
  <c r="R3283" i="1"/>
  <c r="S3283" i="1"/>
  <c r="N3284" i="1"/>
  <c r="R3284" i="1"/>
  <c r="S3284" i="1"/>
  <c r="N3285" i="1"/>
  <c r="R3285" i="1"/>
  <c r="S3285" i="1"/>
  <c r="N3286" i="1"/>
  <c r="R3286" i="1"/>
  <c r="S3286" i="1"/>
  <c r="N3287" i="1"/>
  <c r="R3287" i="1"/>
  <c r="S3287" i="1"/>
  <c r="N3288" i="1"/>
  <c r="R3288" i="1"/>
  <c r="S3288" i="1"/>
  <c r="N3289" i="1"/>
  <c r="R3289" i="1"/>
  <c r="S3289" i="1"/>
  <c r="N3290" i="1"/>
  <c r="R3290" i="1"/>
  <c r="S3290" i="1"/>
  <c r="N3291" i="1"/>
  <c r="R3291" i="1"/>
  <c r="S3291" i="1"/>
  <c r="N3292" i="1"/>
  <c r="R3292" i="1"/>
  <c r="S3292" i="1"/>
  <c r="N3293" i="1"/>
  <c r="R3293" i="1"/>
  <c r="S3293" i="1"/>
  <c r="N3294" i="1"/>
  <c r="R3294" i="1"/>
  <c r="S3294" i="1"/>
  <c r="N3295" i="1"/>
  <c r="R3295" i="1"/>
  <c r="S3295" i="1"/>
  <c r="N3296" i="1"/>
  <c r="R3296" i="1"/>
  <c r="S3296" i="1"/>
  <c r="N3297" i="1"/>
  <c r="R3297" i="1"/>
  <c r="S3297" i="1"/>
  <c r="N3298" i="1"/>
  <c r="R3298" i="1"/>
  <c r="S3298" i="1"/>
  <c r="N3299" i="1"/>
  <c r="R3299" i="1"/>
  <c r="S3299" i="1"/>
  <c r="N3300" i="1"/>
  <c r="R3300" i="1"/>
  <c r="S3300" i="1"/>
  <c r="N3301" i="1"/>
  <c r="R3301" i="1"/>
  <c r="S3301" i="1"/>
  <c r="N3302" i="1"/>
  <c r="R3302" i="1"/>
  <c r="S3302" i="1"/>
  <c r="N3303" i="1"/>
  <c r="S3303" i="1"/>
  <c r="N3304" i="1"/>
  <c r="R3304" i="1"/>
  <c r="S3304" i="1"/>
  <c r="N3305" i="1"/>
  <c r="R3305" i="1"/>
  <c r="S3305" i="1"/>
  <c r="N3306" i="1"/>
  <c r="R3306" i="1"/>
  <c r="S3306" i="1"/>
  <c r="N3307" i="1"/>
  <c r="R3307" i="1"/>
  <c r="S3307" i="1"/>
  <c r="N3308" i="1"/>
  <c r="R3308" i="1"/>
  <c r="S3308" i="1"/>
  <c r="N3309" i="1"/>
  <c r="R3309" i="1"/>
  <c r="S3309" i="1"/>
  <c r="N3310" i="1"/>
  <c r="R3310" i="1"/>
  <c r="S3310" i="1"/>
  <c r="N3311" i="1"/>
  <c r="R3311" i="1"/>
  <c r="S3311" i="1"/>
  <c r="N3312" i="1"/>
  <c r="R3312" i="1"/>
  <c r="S3312" i="1"/>
  <c r="N3313" i="1"/>
  <c r="R3313" i="1"/>
  <c r="S3313" i="1"/>
  <c r="N3314" i="1"/>
  <c r="R3314" i="1"/>
  <c r="S3314" i="1"/>
  <c r="N3315" i="1"/>
  <c r="R3315" i="1"/>
  <c r="S3315" i="1"/>
  <c r="N3316" i="1"/>
  <c r="R3316" i="1"/>
  <c r="S3316" i="1"/>
  <c r="N3317" i="1"/>
  <c r="R3317" i="1"/>
  <c r="S3317" i="1"/>
  <c r="N3318" i="1"/>
  <c r="R3318" i="1"/>
  <c r="S3318" i="1"/>
  <c r="N3319" i="1"/>
  <c r="R3319" i="1"/>
  <c r="S3319" i="1"/>
  <c r="N3320" i="1"/>
  <c r="R3320" i="1"/>
  <c r="S3320" i="1"/>
  <c r="N3321" i="1"/>
  <c r="S3321" i="1"/>
  <c r="N3322" i="1"/>
  <c r="R3322" i="1"/>
  <c r="S3322" i="1"/>
  <c r="N3323" i="1"/>
  <c r="R3323" i="1"/>
  <c r="S3323" i="1"/>
  <c r="N3324" i="1"/>
  <c r="R3324" i="1"/>
  <c r="S3324" i="1"/>
  <c r="N3325" i="1"/>
  <c r="R3325" i="1"/>
  <c r="S3325" i="1"/>
  <c r="N3326" i="1"/>
  <c r="R3326" i="1"/>
  <c r="S3326" i="1"/>
  <c r="N3327" i="1"/>
  <c r="R3327" i="1"/>
  <c r="S3327" i="1"/>
  <c r="N3328" i="1"/>
  <c r="R3328" i="1"/>
  <c r="S3328" i="1"/>
  <c r="N3329" i="1"/>
  <c r="R3329" i="1"/>
  <c r="S3329" i="1"/>
  <c r="N3330" i="1"/>
  <c r="R3330" i="1"/>
  <c r="S3330" i="1"/>
  <c r="N3331" i="1"/>
  <c r="S3331" i="1"/>
  <c r="N3332" i="1"/>
  <c r="R3332" i="1"/>
  <c r="S3332" i="1"/>
  <c r="N3333" i="1"/>
  <c r="R3333" i="1"/>
  <c r="S3333" i="1"/>
  <c r="N3334" i="1"/>
  <c r="R3334" i="1"/>
  <c r="S3334" i="1"/>
  <c r="N3335" i="1"/>
  <c r="R3335" i="1"/>
  <c r="S3335" i="1"/>
  <c r="N3336" i="1"/>
  <c r="S3336" i="1"/>
  <c r="N3337" i="1"/>
  <c r="R3337" i="1"/>
  <c r="S3337" i="1"/>
  <c r="N3338" i="1"/>
  <c r="S3338" i="1"/>
  <c r="N3339" i="1"/>
  <c r="R3339" i="1"/>
  <c r="S3339" i="1"/>
  <c r="R3340" i="1"/>
  <c r="S3340" i="1"/>
  <c r="N3341" i="1"/>
  <c r="R3341" i="1"/>
  <c r="S3341" i="1"/>
  <c r="N3342" i="1"/>
  <c r="R3342" i="1"/>
  <c r="S3342" i="1"/>
  <c r="N3343" i="1"/>
  <c r="R3343" i="1"/>
  <c r="S3343" i="1"/>
  <c r="N3344" i="1"/>
  <c r="R3344" i="1"/>
  <c r="S3344" i="1"/>
  <c r="N3345" i="1"/>
  <c r="R3345" i="1"/>
  <c r="S3345" i="1"/>
  <c r="N3346" i="1"/>
  <c r="R3346" i="1"/>
  <c r="S3346" i="1"/>
  <c r="N3347" i="1"/>
  <c r="R3347" i="1"/>
  <c r="S3347" i="1"/>
  <c r="N3348" i="1"/>
  <c r="R3348" i="1"/>
  <c r="S3348" i="1"/>
  <c r="N3349" i="1"/>
  <c r="R3349" i="1"/>
  <c r="S3349" i="1"/>
  <c r="N3350" i="1"/>
  <c r="R3350" i="1"/>
  <c r="S3350" i="1"/>
  <c r="N3351" i="1"/>
  <c r="R3351" i="1"/>
  <c r="S3351" i="1"/>
  <c r="N3352" i="1"/>
  <c r="R3352" i="1"/>
  <c r="S3352" i="1"/>
  <c r="N3353" i="1"/>
  <c r="S3353" i="1"/>
  <c r="N3354" i="1"/>
  <c r="R3354" i="1"/>
  <c r="S3354" i="1"/>
  <c r="N3355" i="1"/>
  <c r="R3355" i="1"/>
  <c r="S3355" i="1"/>
  <c r="N3356" i="1"/>
  <c r="S3356" i="1"/>
  <c r="N3357" i="1"/>
  <c r="S3357" i="1"/>
  <c r="N3358" i="1"/>
  <c r="S3358" i="1"/>
  <c r="N3359" i="1"/>
  <c r="R3359" i="1"/>
  <c r="S3359" i="1"/>
  <c r="N3360" i="1"/>
  <c r="R3360" i="1"/>
  <c r="S3360" i="1"/>
  <c r="N3361" i="1"/>
  <c r="S3361" i="1"/>
  <c r="N3362" i="1"/>
  <c r="R3362" i="1"/>
  <c r="S3362" i="1"/>
  <c r="N3363" i="1"/>
  <c r="R3363" i="1"/>
  <c r="S3363" i="1"/>
  <c r="N3364" i="1"/>
  <c r="S3364" i="1"/>
  <c r="N3365" i="1"/>
  <c r="S3365" i="1"/>
  <c r="N3366" i="1"/>
  <c r="N3367" i="1"/>
  <c r="R3367" i="1"/>
  <c r="S3367" i="1"/>
  <c r="N3368" i="1"/>
  <c r="R3368" i="1"/>
  <c r="S3368" i="1"/>
  <c r="N3369" i="1"/>
  <c r="S3369" i="1"/>
  <c r="N3370" i="1"/>
  <c r="S3370" i="1"/>
  <c r="N3371" i="1"/>
  <c r="R3371" i="1"/>
  <c r="S3371" i="1"/>
  <c r="N3372" i="1"/>
  <c r="R3372" i="1"/>
  <c r="S3372" i="1"/>
  <c r="N3373" i="1"/>
  <c r="S3373" i="1"/>
  <c r="N3374" i="1"/>
  <c r="R3374" i="1"/>
  <c r="S3374" i="1"/>
  <c r="N3375" i="1"/>
  <c r="R3375" i="1"/>
  <c r="S3375" i="1"/>
  <c r="N3376" i="1"/>
  <c r="R3376" i="1"/>
  <c r="S3376" i="1"/>
  <c r="N3377" i="1"/>
  <c r="R3377" i="1"/>
  <c r="S3377" i="1"/>
  <c r="N3378" i="1"/>
  <c r="R3378" i="1"/>
  <c r="S3378" i="1"/>
  <c r="N3379" i="1"/>
  <c r="R3379" i="1"/>
  <c r="S3379" i="1"/>
  <c r="N3380" i="1"/>
  <c r="R3380" i="1"/>
  <c r="S3380" i="1"/>
  <c r="N3381" i="1"/>
  <c r="R3381" i="1"/>
  <c r="S3381" i="1"/>
  <c r="N3382" i="1"/>
  <c r="R3382" i="1"/>
  <c r="S3382" i="1"/>
  <c r="N3383" i="1"/>
  <c r="R3383" i="1"/>
  <c r="S3383" i="1"/>
  <c r="N3384" i="1"/>
  <c r="R3384" i="1"/>
  <c r="S3384" i="1"/>
  <c r="N3385" i="1"/>
  <c r="R3385" i="1"/>
  <c r="S3385" i="1"/>
  <c r="N3386" i="1"/>
  <c r="R3386" i="1"/>
  <c r="S3386" i="1"/>
  <c r="N3387" i="1"/>
  <c r="R3387" i="1"/>
  <c r="S3387" i="1"/>
  <c r="N3388" i="1"/>
  <c r="R3388" i="1"/>
  <c r="S3388" i="1"/>
  <c r="N3389" i="1"/>
  <c r="R3389" i="1"/>
  <c r="S3389" i="1"/>
  <c r="N3390" i="1"/>
  <c r="R3390" i="1"/>
  <c r="S3390" i="1"/>
  <c r="N3391" i="1"/>
  <c r="R3391" i="1"/>
  <c r="S3391" i="1"/>
  <c r="N3392" i="1"/>
  <c r="R3392" i="1"/>
  <c r="S3392" i="1"/>
  <c r="N3393" i="1"/>
  <c r="R3393" i="1"/>
  <c r="S3393" i="1"/>
  <c r="N3394" i="1"/>
  <c r="R3394" i="1"/>
  <c r="S3394" i="1"/>
  <c r="N3395" i="1"/>
  <c r="R3395" i="1"/>
  <c r="S3395" i="1"/>
  <c r="N3396" i="1"/>
  <c r="R3396" i="1"/>
  <c r="S3396" i="1"/>
  <c r="N3397" i="1"/>
  <c r="R3397" i="1"/>
  <c r="S3397" i="1"/>
  <c r="N3398" i="1"/>
  <c r="R3398" i="1"/>
  <c r="S3398" i="1"/>
  <c r="N3399" i="1"/>
  <c r="R3399" i="1"/>
  <c r="S3399" i="1"/>
  <c r="N3400" i="1"/>
  <c r="R3400" i="1"/>
  <c r="S3400" i="1"/>
  <c r="N3401" i="1"/>
  <c r="R3401" i="1"/>
  <c r="S3401" i="1"/>
  <c r="N3402" i="1"/>
  <c r="R3402" i="1"/>
  <c r="S3402" i="1"/>
  <c r="N3403" i="1"/>
  <c r="R3403" i="1"/>
  <c r="S3403" i="1"/>
  <c r="N3404" i="1"/>
  <c r="R3404" i="1"/>
  <c r="S3404" i="1"/>
  <c r="N3405" i="1"/>
  <c r="R3405" i="1"/>
  <c r="S3405" i="1"/>
  <c r="N3406" i="1"/>
  <c r="R3406" i="1"/>
  <c r="S3406" i="1"/>
  <c r="N3407" i="1"/>
  <c r="R3407" i="1"/>
  <c r="S3407" i="1"/>
  <c r="N3408" i="1"/>
  <c r="N3409" i="1"/>
  <c r="R3409" i="1"/>
  <c r="S3409" i="1"/>
  <c r="N3410" i="1"/>
  <c r="R3410" i="1"/>
  <c r="S3410" i="1"/>
  <c r="N3411" i="1"/>
  <c r="R3411" i="1"/>
  <c r="S3411" i="1"/>
  <c r="N3412" i="1"/>
  <c r="R3412" i="1"/>
  <c r="S3412" i="1"/>
  <c r="N3413" i="1"/>
  <c r="R3413" i="1"/>
  <c r="S3413" i="1"/>
  <c r="N3414" i="1"/>
  <c r="R3414" i="1"/>
  <c r="S3414" i="1"/>
  <c r="N3415" i="1"/>
  <c r="R3415" i="1"/>
  <c r="S3415" i="1"/>
  <c r="N3416" i="1"/>
  <c r="R3416" i="1"/>
  <c r="S3416" i="1"/>
  <c r="N3417" i="1"/>
  <c r="R3417" i="1"/>
  <c r="S3417" i="1"/>
  <c r="N3418" i="1"/>
  <c r="R3418" i="1"/>
  <c r="S3418" i="1"/>
  <c r="N3419" i="1"/>
  <c r="R3419" i="1"/>
  <c r="S3419" i="1"/>
  <c r="N3420" i="1"/>
  <c r="R3420" i="1"/>
  <c r="S3420" i="1"/>
  <c r="N3421" i="1"/>
  <c r="R3421" i="1"/>
  <c r="S3421" i="1"/>
  <c r="N3422" i="1"/>
  <c r="R3422" i="1"/>
  <c r="S3422" i="1"/>
  <c r="N3423" i="1"/>
  <c r="R3423" i="1"/>
  <c r="S3423" i="1"/>
  <c r="N3424" i="1"/>
  <c r="R3424" i="1"/>
  <c r="S3424" i="1"/>
  <c r="N3425" i="1"/>
  <c r="R3425" i="1"/>
  <c r="S3425" i="1"/>
  <c r="N3426" i="1"/>
  <c r="R3426" i="1"/>
  <c r="S3426" i="1"/>
  <c r="N3427" i="1"/>
  <c r="R3427" i="1"/>
  <c r="S3427" i="1"/>
  <c r="N3428" i="1"/>
  <c r="R3428" i="1"/>
  <c r="S3428" i="1"/>
  <c r="N3429" i="1"/>
  <c r="R3429" i="1"/>
  <c r="S3429" i="1"/>
  <c r="N3430" i="1"/>
  <c r="R3430" i="1"/>
  <c r="S3430" i="1"/>
  <c r="N3431" i="1"/>
  <c r="R3431" i="1"/>
  <c r="S3431" i="1"/>
  <c r="R3432" i="1"/>
  <c r="S3432" i="1"/>
  <c r="N3433" i="1"/>
  <c r="R3433" i="1"/>
  <c r="S3433" i="1"/>
  <c r="N3434" i="1"/>
  <c r="R3434" i="1"/>
  <c r="S3434" i="1"/>
  <c r="N3435" i="1"/>
  <c r="R3435" i="1"/>
  <c r="S3435" i="1"/>
  <c r="N3436" i="1"/>
  <c r="R3436" i="1"/>
  <c r="S3436" i="1"/>
  <c r="N3437" i="1"/>
  <c r="R3437" i="1"/>
  <c r="S3437" i="1"/>
  <c r="N3438" i="1"/>
  <c r="R3438" i="1"/>
  <c r="S3438" i="1"/>
  <c r="N3439" i="1"/>
  <c r="R3439" i="1"/>
  <c r="S3439" i="1"/>
  <c r="N3440" i="1"/>
  <c r="R3440" i="1"/>
  <c r="S3440" i="1"/>
  <c r="N3441" i="1"/>
  <c r="R3441" i="1"/>
  <c r="S3441" i="1"/>
  <c r="N3442" i="1"/>
  <c r="R3442" i="1"/>
  <c r="S3442" i="1"/>
  <c r="N3443" i="1"/>
  <c r="R3443" i="1"/>
  <c r="S3443" i="1"/>
  <c r="N3444" i="1"/>
  <c r="R3444" i="1"/>
  <c r="S3444" i="1"/>
  <c r="N3445" i="1"/>
  <c r="R3445" i="1"/>
  <c r="S3445" i="1"/>
  <c r="N3446" i="1"/>
  <c r="R3446" i="1"/>
  <c r="S3446" i="1"/>
  <c r="N3447" i="1"/>
  <c r="R3447" i="1"/>
  <c r="S3447" i="1"/>
  <c r="N3448" i="1"/>
  <c r="R3448" i="1"/>
  <c r="S3448" i="1"/>
  <c r="N3449" i="1"/>
  <c r="R3449" i="1"/>
  <c r="S3449" i="1"/>
  <c r="R3450" i="1"/>
  <c r="S3450" i="1"/>
  <c r="N3451" i="1"/>
  <c r="R3451" i="1"/>
  <c r="S3451" i="1"/>
  <c r="N3452" i="1"/>
  <c r="R3452" i="1"/>
  <c r="S3452" i="1"/>
  <c r="N3453" i="1"/>
  <c r="R3453" i="1"/>
  <c r="S3453" i="1"/>
  <c r="N3454" i="1"/>
  <c r="R3454" i="1"/>
  <c r="S3454" i="1"/>
  <c r="N3455" i="1"/>
  <c r="R3455" i="1"/>
  <c r="S3455" i="1"/>
  <c r="N3456" i="1"/>
  <c r="R3456" i="1"/>
  <c r="S3456" i="1"/>
  <c r="N3457" i="1"/>
  <c r="R3457" i="1"/>
  <c r="S3457" i="1"/>
  <c r="R3458" i="1"/>
  <c r="S3458" i="1"/>
  <c r="N3459" i="1"/>
  <c r="R3459" i="1"/>
  <c r="S3459" i="1"/>
  <c r="N3460" i="1"/>
  <c r="R3460" i="1"/>
  <c r="S3460" i="1"/>
  <c r="N3461" i="1"/>
  <c r="R3461" i="1"/>
  <c r="S3461" i="1"/>
  <c r="N3462" i="1"/>
  <c r="R3462" i="1"/>
  <c r="S3462" i="1"/>
  <c r="N3463" i="1"/>
  <c r="R3463" i="1"/>
  <c r="S3463" i="1"/>
  <c r="N3464" i="1"/>
  <c r="R3464" i="1"/>
  <c r="S3464" i="1"/>
  <c r="N3465" i="1"/>
  <c r="R3465" i="1"/>
  <c r="S3465" i="1"/>
  <c r="N3466" i="1"/>
  <c r="R3466" i="1"/>
  <c r="S3466" i="1"/>
  <c r="N3467" i="1"/>
  <c r="R3467" i="1"/>
  <c r="S3467" i="1"/>
  <c r="N3468" i="1"/>
  <c r="R3468" i="1"/>
  <c r="S3468" i="1"/>
  <c r="R3469" i="1"/>
  <c r="S3469" i="1"/>
  <c r="N3470" i="1"/>
  <c r="R3470" i="1"/>
  <c r="S3470" i="1"/>
  <c r="N3471" i="1"/>
  <c r="R3471" i="1"/>
  <c r="S3471" i="1"/>
  <c r="N3472" i="1"/>
  <c r="R3472" i="1"/>
  <c r="S3472" i="1"/>
  <c r="N3473" i="1"/>
  <c r="R3473" i="1"/>
  <c r="S3473" i="1"/>
  <c r="N3474" i="1"/>
  <c r="R3474" i="1"/>
  <c r="S3474" i="1"/>
  <c r="R3475" i="1"/>
  <c r="S3475" i="1"/>
  <c r="N3476" i="1"/>
  <c r="R3476" i="1"/>
  <c r="S3476" i="1"/>
  <c r="N3477" i="1"/>
  <c r="R3477" i="1"/>
  <c r="S3477" i="1"/>
  <c r="N3478" i="1"/>
  <c r="R3478" i="1"/>
  <c r="S3478" i="1"/>
  <c r="N3479" i="1"/>
  <c r="R3479" i="1"/>
  <c r="S3479" i="1"/>
  <c r="N3480" i="1"/>
  <c r="R3480" i="1"/>
  <c r="S3480" i="1"/>
  <c r="N3481" i="1"/>
  <c r="R3481" i="1"/>
  <c r="S3481" i="1"/>
  <c r="N3482" i="1"/>
  <c r="R3482" i="1"/>
  <c r="S3482" i="1"/>
  <c r="N3483" i="1"/>
  <c r="R3483" i="1"/>
  <c r="S3483" i="1"/>
  <c r="N3484" i="1"/>
  <c r="R3484" i="1"/>
  <c r="S3484" i="1"/>
  <c r="N3485" i="1"/>
  <c r="R3485" i="1"/>
  <c r="S3485" i="1"/>
  <c r="N3486" i="1"/>
  <c r="R3486" i="1"/>
  <c r="S3486" i="1"/>
  <c r="N3487" i="1"/>
  <c r="R3487" i="1"/>
  <c r="S3487" i="1"/>
  <c r="N3488" i="1"/>
  <c r="R3488" i="1"/>
  <c r="S3488" i="1"/>
  <c r="N3489" i="1"/>
  <c r="R3489" i="1"/>
  <c r="S3489" i="1"/>
  <c r="N3490" i="1"/>
  <c r="R3490" i="1"/>
  <c r="S3490" i="1"/>
  <c r="N3491" i="1"/>
  <c r="R3491" i="1"/>
  <c r="S3491" i="1"/>
  <c r="N3492" i="1"/>
  <c r="R3492" i="1"/>
  <c r="S3492" i="1"/>
  <c r="N3493" i="1"/>
  <c r="R3493" i="1"/>
  <c r="S3493" i="1"/>
  <c r="N3494" i="1"/>
  <c r="R3494" i="1"/>
  <c r="S3494" i="1"/>
  <c r="N3495" i="1"/>
  <c r="R3495" i="1"/>
  <c r="S3495" i="1"/>
  <c r="N3496" i="1"/>
  <c r="R3496" i="1"/>
  <c r="S3496" i="1"/>
  <c r="N3497" i="1"/>
  <c r="R3497" i="1"/>
  <c r="S3497" i="1"/>
  <c r="N3498" i="1"/>
  <c r="R3498" i="1"/>
  <c r="S3498" i="1"/>
  <c r="N3499" i="1"/>
  <c r="R3499" i="1"/>
  <c r="S3499" i="1"/>
  <c r="N3500" i="1"/>
  <c r="R3500" i="1"/>
  <c r="S3500" i="1"/>
  <c r="N3501" i="1"/>
  <c r="R3501" i="1"/>
  <c r="S3501" i="1"/>
  <c r="N3502" i="1"/>
  <c r="R3502" i="1"/>
  <c r="S3502" i="1"/>
  <c r="N3503" i="1"/>
  <c r="R3503" i="1"/>
  <c r="S3503" i="1"/>
  <c r="N3504" i="1"/>
  <c r="R3504" i="1"/>
  <c r="S3504" i="1"/>
  <c r="N3505" i="1"/>
  <c r="R3505" i="1"/>
  <c r="S3505" i="1"/>
  <c r="N3506" i="1"/>
  <c r="R3506" i="1"/>
  <c r="S3506" i="1"/>
  <c r="N3507" i="1"/>
  <c r="R3507" i="1"/>
  <c r="S3507" i="1"/>
  <c r="N3508" i="1"/>
  <c r="R3508" i="1"/>
  <c r="S3508" i="1"/>
  <c r="N3509" i="1"/>
  <c r="R3509" i="1"/>
  <c r="S3509" i="1"/>
  <c r="N3510" i="1"/>
  <c r="R3510" i="1"/>
  <c r="S3510" i="1"/>
  <c r="N3511" i="1"/>
  <c r="R3511" i="1"/>
  <c r="S3511" i="1"/>
  <c r="N3512" i="1"/>
  <c r="R3512" i="1"/>
  <c r="S3512" i="1"/>
  <c r="N3513" i="1"/>
  <c r="R3513" i="1"/>
  <c r="S3513" i="1"/>
  <c r="N3514" i="1"/>
  <c r="R3514" i="1"/>
  <c r="S3514" i="1"/>
  <c r="N3515" i="1"/>
  <c r="R3515" i="1"/>
  <c r="S3515" i="1"/>
  <c r="N3516" i="1"/>
  <c r="R3516" i="1"/>
  <c r="S3516" i="1"/>
  <c r="N3517" i="1"/>
  <c r="R3517" i="1"/>
  <c r="S3517" i="1"/>
  <c r="N3518" i="1"/>
  <c r="R3518" i="1"/>
  <c r="S3518" i="1"/>
  <c r="N3519" i="1"/>
  <c r="R3519" i="1"/>
  <c r="S3519" i="1"/>
  <c r="N3520" i="1"/>
  <c r="R3520" i="1"/>
  <c r="S3520" i="1"/>
  <c r="N3521" i="1"/>
  <c r="R3521" i="1"/>
  <c r="S3521" i="1"/>
  <c r="R3522" i="1"/>
  <c r="S3522" i="1"/>
  <c r="N3523" i="1"/>
  <c r="R3523" i="1"/>
  <c r="S3523" i="1"/>
  <c r="N3524" i="1"/>
  <c r="R3524" i="1"/>
  <c r="S3524" i="1"/>
  <c r="N3525" i="1"/>
  <c r="R3525" i="1"/>
  <c r="S3525" i="1"/>
  <c r="N3526" i="1"/>
  <c r="R3526" i="1"/>
  <c r="S3526" i="1"/>
  <c r="N3527" i="1"/>
  <c r="R3527" i="1"/>
  <c r="S3527" i="1"/>
  <c r="N3528" i="1"/>
  <c r="R3528" i="1"/>
  <c r="S3528" i="1"/>
  <c r="N3529" i="1"/>
  <c r="R3529" i="1"/>
  <c r="S3529" i="1"/>
  <c r="N3530" i="1"/>
  <c r="R3530" i="1"/>
  <c r="S3530" i="1"/>
  <c r="N3531" i="1"/>
  <c r="R3531" i="1"/>
  <c r="S3531" i="1"/>
  <c r="N3532" i="1"/>
  <c r="R3532" i="1"/>
  <c r="S3532" i="1"/>
  <c r="N3533" i="1"/>
  <c r="R3533" i="1"/>
  <c r="S3533" i="1"/>
  <c r="N3534" i="1"/>
  <c r="R3534" i="1"/>
  <c r="S3534" i="1"/>
  <c r="N3535" i="1"/>
  <c r="R3535" i="1"/>
  <c r="S3535" i="1"/>
  <c r="N3536" i="1"/>
  <c r="R3536" i="1"/>
  <c r="S3536" i="1"/>
  <c r="N3537" i="1"/>
  <c r="R3537" i="1"/>
  <c r="S3537" i="1"/>
  <c r="N3538" i="1"/>
  <c r="R3538" i="1"/>
  <c r="S3538" i="1"/>
  <c r="N3539" i="1"/>
  <c r="R3539" i="1"/>
  <c r="S3539" i="1"/>
  <c r="N3540" i="1"/>
  <c r="R3540" i="1"/>
  <c r="S3540" i="1"/>
  <c r="N3541" i="1"/>
  <c r="R3541" i="1"/>
  <c r="S3541" i="1"/>
  <c r="N3542" i="1"/>
  <c r="R3542" i="1"/>
  <c r="S3542" i="1"/>
  <c r="N3543" i="1"/>
  <c r="R3543" i="1"/>
  <c r="S3543" i="1"/>
  <c r="N3544" i="1"/>
  <c r="R3544" i="1"/>
  <c r="S3544" i="1"/>
  <c r="N3545" i="1"/>
  <c r="R3545" i="1"/>
  <c r="S3545" i="1"/>
  <c r="N3546" i="1"/>
  <c r="R3546" i="1"/>
  <c r="S3546" i="1"/>
  <c r="N3547" i="1"/>
  <c r="R3547" i="1"/>
  <c r="S3547" i="1"/>
  <c r="N3548" i="1"/>
  <c r="R3548" i="1"/>
  <c r="N3549" i="1"/>
  <c r="R3549" i="1"/>
  <c r="N3550" i="1"/>
  <c r="S3550" i="1"/>
</calcChain>
</file>

<file path=xl/sharedStrings.xml><?xml version="1.0" encoding="utf-8"?>
<sst xmlns="http://schemas.openxmlformats.org/spreadsheetml/2006/main" count="34783" uniqueCount="17008">
  <si>
    <t>Book ID</t>
  </si>
  <si>
    <t>Title</t>
  </si>
  <si>
    <t>Subtitle</t>
  </si>
  <si>
    <t>Contract Publisher</t>
  </si>
  <si>
    <t>Imprint Publisher</t>
  </si>
  <si>
    <t>Pub Year</t>
  </si>
  <si>
    <t>BISAC</t>
  </si>
  <si>
    <t>LCC</t>
  </si>
  <si>
    <t>LCSH</t>
  </si>
  <si>
    <t>Language</t>
  </si>
  <si>
    <t>Format</t>
  </si>
  <si>
    <t>Downloadable</t>
  </si>
  <si>
    <t>Author</t>
  </si>
  <si>
    <t>DDC</t>
  </si>
  <si>
    <t>Series</t>
  </si>
  <si>
    <t>Fiction</t>
  </si>
  <si>
    <t>Abridged</t>
  </si>
  <si>
    <t>ISBN</t>
  </si>
  <si>
    <t>eISBN</t>
  </si>
  <si>
    <t>OCN</t>
  </si>
  <si>
    <t>The Universe, Life and Everything...</t>
  </si>
  <si>
    <t>Dialogues on Our Changing Understanding of Reality</t>
  </si>
  <si>
    <t>Amsterdam University Press</t>
  </si>
  <si>
    <t>PHILOSOPHY / General</t>
  </si>
  <si>
    <t>BD331</t>
  </si>
  <si>
    <t>Consciousness.,Metaphysics.,Ontology.,Physics.,Reality.</t>
  </si>
  <si>
    <t>eng</t>
  </si>
  <si>
    <t>PDF</t>
  </si>
  <si>
    <t>Durston, Sarah.-Baggerman, Ton.</t>
  </si>
  <si>
    <t>Free Online Access: OAPEN</t>
  </si>
  <si>
    <t>Screens</t>
  </si>
  <si>
    <t>ART / General</t>
  </si>
  <si>
    <t>PN1995.9.A8 S37 2016</t>
  </si>
  <si>
    <t>Cinematography--Philosophy.</t>
  </si>
  <si>
    <t>Chateau, Dominique.-Moure, JoseÌ.</t>
  </si>
  <si>
    <t>The Key Debates: Mutations an Appropriations in European Film Studies</t>
  </si>
  <si>
    <t>Narrative Concepts in the Study of Eighteenth-Century Literature</t>
  </si>
  <si>
    <t>LITERARY COLLECTIONS / General</t>
  </si>
  <si>
    <t>PN751 .N37 2017</t>
  </si>
  <si>
    <t>Narration (Rhetoric)--18th century--History and criticism.</t>
  </si>
  <si>
    <t>Steinby, Liisa-MaÌˆkikalli, Aino</t>
  </si>
  <si>
    <t>Crossing Boundaries</t>
  </si>
  <si>
    <t>Samuel's Manual of Neurologic Therapeutics</t>
  </si>
  <si>
    <t>Lippincott Williams &amp; Wilkins</t>
  </si>
  <si>
    <t>Wolters Kluwer Health</t>
  </si>
  <si>
    <t>MEDICAL / Neurology</t>
  </si>
  <si>
    <t>RC349.8</t>
  </si>
  <si>
    <t>Nervous system--Diseases--Treatment--Handbooks, manuals, etc.</t>
  </si>
  <si>
    <t>EPUB</t>
  </si>
  <si>
    <t>Samuels, Martin A.-Ropper, Allan H.</t>
  </si>
  <si>
    <t>Lippincott Manual</t>
  </si>
  <si>
    <t>Avoiding Common Errors in the Emergency Department</t>
  </si>
  <si>
    <t>MEDICAL / Emergency Medicine</t>
  </si>
  <si>
    <t>RC86.7</t>
  </si>
  <si>
    <t>Emergency medicine.,Medical errors.</t>
  </si>
  <si>
    <t>Mattu, Amal-Chanmugam, Arjun S.-Swadron, Stuart P.-Woolridge, Dale-Winters, Michael E.-Marcucci, Lisa</t>
  </si>
  <si>
    <t>Unpopular Culture</t>
  </si>
  <si>
    <t>SOCIAL SCIENCE / General</t>
  </si>
  <si>
    <t>HM621</t>
  </si>
  <si>
    <t>Popular culture.</t>
  </si>
  <si>
    <t>LuÌˆthe, Martin.</t>
  </si>
  <si>
    <t>Televisual Culture</t>
  </si>
  <si>
    <t>Early Film Theories in Italy, 1896-1922</t>
  </si>
  <si>
    <t>PERFORMING ARTS / General</t>
  </si>
  <si>
    <t>PN1993.5.I88 E27 2017eb</t>
  </si>
  <si>
    <t>Motion pictures and the arts--Italy.,Motion pictures--Italy--Aesthetics.,Motion pictures--Italy--History.,Motion pictures--Italy--Philosophy.,Motion pictures--Social aspects--Italy.</t>
  </si>
  <si>
    <t>Casetti, Francesco-Alovisio, Silvio-Mazzei, Luca</t>
  </si>
  <si>
    <t>Film Theory in Media History</t>
  </si>
  <si>
    <t>The Hollywood Sequel</t>
  </si>
  <si>
    <t>History &amp; Form, 1911-2010</t>
  </si>
  <si>
    <t>Bloomsbury UK</t>
  </si>
  <si>
    <t>British Film Institute</t>
  </si>
  <si>
    <t>PERFORMING ARTS / Film / General</t>
  </si>
  <si>
    <t>PN1995.9.S29</t>
  </si>
  <si>
    <t>Motion pictures--United States.</t>
  </si>
  <si>
    <t>Henderson, Stuart</t>
  </si>
  <si>
    <t>The Bigamist</t>
  </si>
  <si>
    <t>PN1997.B4465 H37 2009</t>
  </si>
  <si>
    <t>Hastie, Amelie</t>
  </si>
  <si>
    <t>BFI Film Classics</t>
  </si>
  <si>
    <t>Rephrasing Heidegger</t>
  </si>
  <si>
    <t>A Companion to 'Being and Time'</t>
  </si>
  <si>
    <t>University of Ottawa Press</t>
  </si>
  <si>
    <t>PHILOSOPHY / Movements / Phenomenology</t>
  </si>
  <si>
    <t>B3279.H49 S4123 2007eb</t>
  </si>
  <si>
    <t>Ontology.,Phenomenology.,Philosophy.,Space and time.</t>
  </si>
  <si>
    <t>EPUB,PDF</t>
  </si>
  <si>
    <t>Sembera, Richard</t>
  </si>
  <si>
    <t>Collection Philosophica</t>
  </si>
  <si>
    <t>Modern Management of Spinal Deformities</t>
  </si>
  <si>
    <t>A Theoretical, Practical, and Evidence-based Text</t>
  </si>
  <si>
    <t>Thieme Medical Publishing Inc.</t>
  </si>
  <si>
    <t>Thieme</t>
  </si>
  <si>
    <t>MEDICAL / Orthopedics</t>
  </si>
  <si>
    <t>RD768</t>
  </si>
  <si>
    <t>Spine--Abnormalities.,Spine--Diseases.,Spine--Surgery.</t>
  </si>
  <si>
    <t>Dickson, Robert A.-Harms, JuÌˆrgen</t>
  </si>
  <si>
    <t>Indefinite Pronouns</t>
  </si>
  <si>
    <t>OUP Premium</t>
  </si>
  <si>
    <t>OUP Oxford</t>
  </si>
  <si>
    <t>LANGUAGE ARTS &amp; DISCIPLINES / Linguistics / General</t>
  </si>
  <si>
    <t>P279</t>
  </si>
  <si>
    <t>Definiteness (Linguistics),Grammar, Comparative and general--Pronoun.</t>
  </si>
  <si>
    <t>Haspelmath, Martin</t>
  </si>
  <si>
    <t>Oxford Studies in Typology and Linguistic Theory</t>
  </si>
  <si>
    <t>The Making of Europe</t>
  </si>
  <si>
    <t>A Geological History</t>
  </si>
  <si>
    <t>Dunedin Academic Press Limited</t>
  </si>
  <si>
    <t>Dunedin Academic Press</t>
  </si>
  <si>
    <t>SCIENCE / Earth Sciences / General</t>
  </si>
  <si>
    <t>QE260 .P375 2014eb</t>
  </si>
  <si>
    <t>Geology--Europe.</t>
  </si>
  <si>
    <t>Park, Graham</t>
  </si>
  <si>
    <t>Bioenergy and Renewable Power Methane in Integrated 100% Renewable Energy Systems</t>
  </si>
  <si>
    <t>Limiting Global Warming by Transforming Energy Systems</t>
  </si>
  <si>
    <t>Libreka GmbH</t>
  </si>
  <si>
    <t>Kassel University Press GmbH</t>
  </si>
  <si>
    <t>TECHNOLOGY &amp; ENGINEERING / Electronics / General</t>
  </si>
  <si>
    <t>TJ808 .S74 2009eb</t>
  </si>
  <si>
    <t>Biomass energy.,Global warming.,Methane.,Renewable energy sources.</t>
  </si>
  <si>
    <t>Sterner, Michael.</t>
  </si>
  <si>
    <t>Renewable Energies and Energy Efficiency</t>
  </si>
  <si>
    <t>The Economic Consequences of the Peace</t>
  </si>
  <si>
    <t>Simon &amp; Schuster</t>
  </si>
  <si>
    <t>Skyhorse</t>
  </si>
  <si>
    <t>BUSINESS &amp; ECONOMICS / Economic History</t>
  </si>
  <si>
    <t>HC57 .K496 2007eb</t>
  </si>
  <si>
    <t>Economic history--1918-1945.,World War, 1914-1918--Economic aspects.</t>
  </si>
  <si>
    <t>Keynes, John Maynard.-Volcker, Paul A.</t>
  </si>
  <si>
    <t>Theatre and AutoBiography</t>
  </si>
  <si>
    <t>Writing and Performing Lives in Theory and Practice</t>
  </si>
  <si>
    <t>Lightning Source Inc. (Tier 2)</t>
  </si>
  <si>
    <t>Talonbooks</t>
  </si>
  <si>
    <t>PERFORMING ARTS / Theater / History &amp; Criticism</t>
  </si>
  <si>
    <t>PR9191.6.A86</t>
  </si>
  <si>
    <t>American drama--20th century--History and criticism.,Autobiographical drama, American--History and criticism.,Autobiographical drama, Canadian--History and criticism.,Autobiographical drama, English--History and criticism.,Canadian drama--20th century--History and criticism.,Dramatists in literature.,English drama--20th century--History and criticism.</t>
  </si>
  <si>
    <t>Sherrill Grace-Jerry Wasserman</t>
  </si>
  <si>
    <t>Star Wars and the History of Transmedia Storytelling</t>
  </si>
  <si>
    <t>PN1997.S65943</t>
  </si>
  <si>
    <t>Star Wars films--History and criticism.</t>
  </si>
  <si>
    <t>Hassler-Forest, Dan-Guynes, Sean A.</t>
  </si>
  <si>
    <t>Transmedia</t>
  </si>
  <si>
    <t>Differential Diagnosis in Surgical Pathology: Pulmonary Pathology</t>
  </si>
  <si>
    <t>MEDICAL / Pathology</t>
  </si>
  <si>
    <t>RC756</t>
  </si>
  <si>
    <t>Diagnosis, Differential.,Lungs--Diseases--Diagnosis.,Lungs--Diseases--Pathogenesis.,Pathology, Surgical.</t>
  </si>
  <si>
    <t>Duarte Achcar, Rosane-Groshong, Steve D.-Cool, Carlyne D.-Epstein, Jonathan I.</t>
  </si>
  <si>
    <t>Differential Diagnosis in Surgical Pathology</t>
  </si>
  <si>
    <t>ECG Interpretation: An Incredibly Easy Pocket Guide</t>
  </si>
  <si>
    <t>MEDICAL / Nursing / Reference</t>
  </si>
  <si>
    <t>RC683.5.E5</t>
  </si>
  <si>
    <t>Electrocardiography--Handbooks, manuals, etc.</t>
  </si>
  <si>
    <t>Coviello, Jessica Shank</t>
  </si>
  <si>
    <t>Incredibly Easy! SeriesÂ®</t>
  </si>
  <si>
    <t>Cloherty and Stark's Manual of Neonatal Care</t>
  </si>
  <si>
    <t>MEDICAL / Pediatrics</t>
  </si>
  <si>
    <t>RJ251</t>
  </si>
  <si>
    <t>Neonatology--Handbooks, manuals, etc.</t>
  </si>
  <si>
    <t>Eichenwald, Eric C.-Hansen, Anne R.-Martin, Camilia-Stark, Ann R.</t>
  </si>
  <si>
    <t>[Lippincott Manual]</t>
  </si>
  <si>
    <t>Henrich's Principles and Practice of Dialysis</t>
  </si>
  <si>
    <t>MEDICAL / Nephrology</t>
  </si>
  <si>
    <t>RC901.7.H45</t>
  </si>
  <si>
    <t>Hemodialysis.</t>
  </si>
  <si>
    <t>Lerma, Edgar V.-Weir, Matthew R.</t>
  </si>
  <si>
    <t>Pocket Anesthesia</t>
  </si>
  <si>
    <t>MEDICAL / Anesthesiology</t>
  </si>
  <si>
    <t>RD81</t>
  </si>
  <si>
    <t>Anesthesia.,Anesthetics.</t>
  </si>
  <si>
    <t>Urman, Richard D.-Ehrenfeld, Jesse M.</t>
  </si>
  <si>
    <t>Pocket Notebook</t>
  </si>
  <si>
    <t>Accelerators in Silicon Valley</t>
  </si>
  <si>
    <t>BUSINESS &amp; ECONOMICS / General</t>
  </si>
  <si>
    <t>HD62.5 .E88 2017</t>
  </si>
  <si>
    <t>Business incubators--California--Santa Clara Valley (Santa Clara County),Entrepreneurship--California--Santa Clara Valley (Santa Clara County),High technology industries--California--Santa Clara Valley (Santa Clara County),New business enterprises--Planning.,Technological innovations--California--Santa Clara Valley (Santa Clara County)</t>
  </si>
  <si>
    <t>Ester, P.</t>
  </si>
  <si>
    <t>Popular Music in Southeast Asia</t>
  </si>
  <si>
    <t>MUSIC / General</t>
  </si>
  <si>
    <t>ML3502.A785 B274 2017eb</t>
  </si>
  <si>
    <t>Popular music--Southeast Asia--History and criticism.</t>
  </si>
  <si>
    <t>Barendregt, Bart A.-Keppy, Peter-Schulte Nordholt, Henk</t>
  </si>
  <si>
    <t>Fascism, Liberalism and Europeanism in the Political Thought of Bertrand De Jouvenel and Alfred Fabre-Luce</t>
  </si>
  <si>
    <t>HISTORY / General</t>
  </si>
  <si>
    <t>JC348</t>
  </si>
  <si>
    <t>Fascism--France--History--20th century.,Liberalism--France--History--20th century.,Political science--Philosophy--History--20th century.</t>
  </si>
  <si>
    <t>Daniel Knegt</t>
  </si>
  <si>
    <t>NIOD Studies on War, Holocaust and Genocide</t>
  </si>
  <si>
    <t>Global Diffusion of Protest</t>
  </si>
  <si>
    <t>HM883 .G56 2017eb</t>
  </si>
  <si>
    <t>Neoliberalism.,Protest movements--Cross-cultural studies.,Protest movements--History--21st century.</t>
  </si>
  <si>
    <t>Della Porta, Donatella</t>
  </si>
  <si>
    <t>Protest and Social Movements</t>
  </si>
  <si>
    <t>Conversations with Christian Metz</t>
  </si>
  <si>
    <t>PN1995 .M447 2017eb</t>
  </si>
  <si>
    <t>Film critics--Interviews.,Motion pictures--Philosophy.</t>
  </si>
  <si>
    <t>Metz, Christian-Buckland, Warren-Fairfax, Daniel</t>
  </si>
  <si>
    <t>Anglo-Saxon Literary Landscapes</t>
  </si>
  <si>
    <t>LITERARY CRITICISM / General</t>
  </si>
  <si>
    <t>PN1065 .E78 2017eb</t>
  </si>
  <si>
    <t>Ecocriticism.,Ecology in literature.,Landscapes in literature.,Nature in literature.</t>
  </si>
  <si>
    <t>Estes, Heide</t>
  </si>
  <si>
    <t>Environmental Humanities in Pre-modern Cultures</t>
  </si>
  <si>
    <t>Keep Calm And Pass Your Music Exam</t>
  </si>
  <si>
    <t>Vearsa</t>
  </si>
  <si>
    <t>Chester Music</t>
  </si>
  <si>
    <t>MUSIC / Instruction &amp; Study / Exercises</t>
  </si>
  <si>
    <t>ML3830</t>
  </si>
  <si>
    <t>Music--Examinations--Study guides.,Music--Performance--Psychological aspects.</t>
  </si>
  <si>
    <t>Tomlinson, Charlotte</t>
  </si>
  <si>
    <t>Publishing Means Buisness</t>
  </si>
  <si>
    <t>Australian Perspectives</t>
  </si>
  <si>
    <t>International Specialized Book Services</t>
  </si>
  <si>
    <t>Monash University Publishing</t>
  </si>
  <si>
    <t>LANGUAGE ARTS &amp; DISCIPLINES / Journalism</t>
  </si>
  <si>
    <t>Z533 .P83 2017</t>
  </si>
  <si>
    <t>Publishers and publishing--Australia.</t>
  </si>
  <si>
    <t>Mannion, Aaron-Weber, Millicent-Day, Katherine</t>
  </si>
  <si>
    <t>Divine Stories</t>
  </si>
  <si>
    <t>Divyavadana, Part 2</t>
  </si>
  <si>
    <t>Wisdom Publications</t>
  </si>
  <si>
    <t>RELIGION / Buddhism / Sacred Writings</t>
  </si>
  <si>
    <t>BQ1562.E5 R68 2017</t>
  </si>
  <si>
    <t>Buddhism--Doctrines.,Buddhist literature, Sanskrit--Translations into English.,Faith (Buddhism),Spiritual life--Buddhism.</t>
  </si>
  <si>
    <t>Rotman, Andy</t>
  </si>
  <si>
    <t>Conditions Handsome and Unhandsome</t>
  </si>
  <si>
    <t>The Constitution of Emersonian Perfectionism: The Carus Lectures, 1988</t>
  </si>
  <si>
    <t>University of Chicago Press</t>
  </si>
  <si>
    <t>PS1642.P5 C38 1990</t>
  </si>
  <si>
    <t>Perfection--Moral and ethical aspects.</t>
  </si>
  <si>
    <t>Cavell, Stanley</t>
  </si>
  <si>
    <t>The Carus Lectures</t>
  </si>
  <si>
    <t>Africa's Lions</t>
  </si>
  <si>
    <t>Growth Traps and Opportunities for Six African Economies</t>
  </si>
  <si>
    <t>Lightning Source Inc. (Tier 3)</t>
  </si>
  <si>
    <t>Brookings Institution Press</t>
  </si>
  <si>
    <t>POLITICAL SCIENCE / World / African</t>
  </si>
  <si>
    <t>HC800</t>
  </si>
  <si>
    <t>Economic development--Africa.,Job creation--Africa.</t>
  </si>
  <si>
    <t>Bhorat, Haroon-Tarp, Finn</t>
  </si>
  <si>
    <t>Memoirs and Reflections</t>
  </si>
  <si>
    <t>Chicago Distribution Center (CDC Presses)</t>
  </si>
  <si>
    <t>ForeEdge</t>
  </si>
  <si>
    <t>BIOGRAPHY &amp; AUTOBIOGRAPHY / General</t>
  </si>
  <si>
    <t>ML417.K664</t>
  </si>
  <si>
    <t>Pianists--Biography.</t>
  </si>
  <si>
    <t>Kisin, EvgeniiÌ†-Arshinova, Marina-McMillin, Arnold B.</t>
  </si>
  <si>
    <t>The Good Country</t>
  </si>
  <si>
    <t>The Djadja Wurrung, the Settlers and the Protectors</t>
  </si>
  <si>
    <t>SOCIAL SCIENCE / Discrimination &amp; Race Relations</t>
  </si>
  <si>
    <t>DU125.D65</t>
  </si>
  <si>
    <t>Aboriginal Australians, Treatment of--Australia--Victoria--History.,Aboriginal Australians--Australia--Victoria--History.,Djadja Wurrung (Australian people),Frontier and pioneer life--Australia--Victoria.,Frontier and pioneer life--Australia--Victoria--Social conditions.</t>
  </si>
  <si>
    <t>Attwood, Bain</t>
  </si>
  <si>
    <t>Australian History</t>
  </si>
  <si>
    <t>Criminal Justice</t>
  </si>
  <si>
    <t>A New Zealand Introduction</t>
  </si>
  <si>
    <t>Independent Publishers Group</t>
  </si>
  <si>
    <t>Auckland University Press</t>
  </si>
  <si>
    <t>SOCIAL SCIENCE / Criminology</t>
  </si>
  <si>
    <t>KUQ3411</t>
  </si>
  <si>
    <t>Criminal justice, Administration of--New Zealand.,Criminal law--New Zealand.,Criminal procedure--New Zealand.</t>
  </si>
  <si>
    <t>Gilbert, Jarrod-Newbold, Greg</t>
  </si>
  <si>
    <t>The College Bucket List</t>
  </si>
  <si>
    <t>101 Fun, Unforgettable and Maybe Even Life-Changing Things to Do Before Graduation Day</t>
  </si>
  <si>
    <t>Ulysses Press</t>
  </si>
  <si>
    <t>STUDY AIDS / College Guides</t>
  </si>
  <si>
    <t>LA229</t>
  </si>
  <si>
    <t>College students--Conduct of life.,College students--Handbooks, manuals, etc.</t>
  </si>
  <si>
    <t>Jason, Kourtney-Pedersen, Darcy</t>
  </si>
  <si>
    <t>The Overwhelmed Brain</t>
  </si>
  <si>
    <t>Personal Growth for Critical Thinkers</t>
  </si>
  <si>
    <t>SELF-HELP / Personal Growth / General</t>
  </si>
  <si>
    <t>BF575.S75</t>
  </si>
  <si>
    <t>Self-actualization (Psychology),Success--Psychological aspects.</t>
  </si>
  <si>
    <t>Paul Colaianni.</t>
  </si>
  <si>
    <t>Not So Golden State</t>
  </si>
  <si>
    <t>Sustainability Vs. The California Dream</t>
  </si>
  <si>
    <t>Trinity University Press</t>
  </si>
  <si>
    <t>NATURE / Regional</t>
  </si>
  <si>
    <t>GE185.C2 M56 2016eb</t>
  </si>
  <si>
    <t>Environmental policy--California.,Environmental protection--California.,Sustainability--California.</t>
  </si>
  <si>
    <t>Miller, Char</t>
  </si>
  <si>
    <t>Death Watch</t>
  </si>
  <si>
    <t>A View From the Tenth Decade</t>
  </si>
  <si>
    <t>BIOGRAPHY &amp; AUTOBIOGRAPHY / Personal Memoirs</t>
  </si>
  <si>
    <t>PS3569.T3888</t>
  </si>
  <si>
    <t>Authors, American--20th century--Biography.,Death--Sociological aspects.,Jews--United States--Biography.,Poets, American--20th century--Biography.</t>
  </si>
  <si>
    <t>Stern, Gerald.</t>
  </si>
  <si>
    <t>Coming of Age at the End of Nature</t>
  </si>
  <si>
    <t>A Generation Faces Living on a Changed Planet</t>
  </si>
  <si>
    <t>NATURE / Essays</t>
  </si>
  <si>
    <t>GE140</t>
  </si>
  <si>
    <t>American essays--21st century.,Environmental degradation.,Generation Y.,Nature--Effect of human beings on.</t>
  </si>
  <si>
    <t>Dunlap, Julie.-Cohen, Susan A.</t>
  </si>
  <si>
    <t>Juan O'Gorman</t>
  </si>
  <si>
    <t>A Confluence of Civilizations</t>
  </si>
  <si>
    <t>Maverick Books</t>
  </si>
  <si>
    <t>ART / Individual Artists / General</t>
  </si>
  <si>
    <t>N6559.O36 C66 2016eb</t>
  </si>
  <si>
    <t>Architects--Mexico--Biography.,Artists--Mexico--Biography.,Public art--Texas--San Antonio.</t>
  </si>
  <si>
    <t>Cooke, Catherine Nixon</t>
  </si>
  <si>
    <t>Plastics Packaging</t>
  </si>
  <si>
    <t>Properties, Processing, Applications, and Regulations</t>
  </si>
  <si>
    <t>Carl Hanser Verlag GmbH &amp; Co. KG</t>
  </si>
  <si>
    <t>TECHNOLOGY &amp; ENGINEERING / Chemical &amp; Biochemical</t>
  </si>
  <si>
    <t>TS198.3.P5</t>
  </si>
  <si>
    <t>Plastics in packaging.,Polymers.</t>
  </si>
  <si>
    <t>Selke, Susan E. M.-Culter, John D.</t>
  </si>
  <si>
    <t>Resistance and Stability of Polymers</t>
  </si>
  <si>
    <t>TA455.P58 E34513 2013eb</t>
  </si>
  <si>
    <t>Polymers--Chemical resistance.,Stabilizing agents.</t>
  </si>
  <si>
    <t>Ehrenstein, Gottfried W.-Pongratz, Sonja</t>
  </si>
  <si>
    <t>Analyzing and Troubleshooting Single-Screw Extruders</t>
  </si>
  <si>
    <t>TP1175.E9</t>
  </si>
  <si>
    <t>Plastics--Extrusion.,Screw pumps.</t>
  </si>
  <si>
    <t>Campbell, G. A.-Spalding, Mark A.</t>
  </si>
  <si>
    <t>Adhesion and Adhesives Technology</t>
  </si>
  <si>
    <t>An Introduction</t>
  </si>
  <si>
    <t>QC183 .P72 2012eb</t>
  </si>
  <si>
    <t>Adhesion.,Adhesives.,Chemistry, Physical and theoretical.</t>
  </si>
  <si>
    <t>Pocius, Alphonsus V.</t>
  </si>
  <si>
    <t>Understanding Additive Manufacturing</t>
  </si>
  <si>
    <t>Rapid Prototyping - Rapid Tooling - Rapid Manufacturing</t>
  </si>
  <si>
    <t>BUSINESS &amp; ECONOMICS / Organizational Behavior</t>
  </si>
  <si>
    <t>TS171.8 .G43 2012eb</t>
  </si>
  <si>
    <t>Manufacturing processes.,Three-dimensional printing.</t>
  </si>
  <si>
    <t>Gebhardt, Andreas.</t>
  </si>
  <si>
    <t>Understanding Plastics Engineering Calculations</t>
  </si>
  <si>
    <t>Hands-on Examples and Case Studies</t>
  </si>
  <si>
    <t>TECHNOLOGY &amp; ENGINEERING / Civil / General</t>
  </si>
  <si>
    <t>TP1150 .R36 2012eb</t>
  </si>
  <si>
    <t>Plastics--Molding--Mathematical models.</t>
  </si>
  <si>
    <t>Rao, Natti S.-Schott, Nick R.</t>
  </si>
  <si>
    <t>Plastics Failure</t>
  </si>
  <si>
    <t>Cause and Prevention</t>
  </si>
  <si>
    <t>TECHNOLOGY &amp; ENGINEERING / Engineering (General)</t>
  </si>
  <si>
    <t>TA455.P5 E95 2013</t>
  </si>
  <si>
    <t>Plastics--Fracture.</t>
  </si>
  <si>
    <t>Ezrin, Myer</t>
  </si>
  <si>
    <t>Engineering with Rubber</t>
  </si>
  <si>
    <t>How to Design Rubber Components</t>
  </si>
  <si>
    <t>TA455.R8 E54 2012eb</t>
  </si>
  <si>
    <t>Engineering design.,Rubber.</t>
  </si>
  <si>
    <t>Gent, Alan N.</t>
  </si>
  <si>
    <t>Mixing of Rubber Compounds</t>
  </si>
  <si>
    <t>TS1890 .L55 2012eb</t>
  </si>
  <si>
    <t>Mixing machinery.,Rubber machinery.,Rubber.</t>
  </si>
  <si>
    <t>Limper, A.</t>
  </si>
  <si>
    <t>Nano- and Micromechanics of Polymers</t>
  </si>
  <si>
    <t>Structure Modification and Improvement of Properties</t>
  </si>
  <si>
    <t>TECHNOLOGY &amp; ENGINEERING / Reference</t>
  </si>
  <si>
    <t>TA455.P58 M53 2012eb</t>
  </si>
  <si>
    <t>Micromechanics.,Polymers--Mechanical properties.,Polymers--Microstructure.</t>
  </si>
  <si>
    <t>Michler, Goerg H.-BaltaÌ-Calleja, F. J.</t>
  </si>
  <si>
    <t>Leadership &amp; Management of Machining</t>
  </si>
  <si>
    <t>How to Integrate Technology, Robust Processes, and People to Win!</t>
  </si>
  <si>
    <t>TECHNOLOGY &amp; ENGINEERING / Technical &amp; Manufacturing Industries &amp; Trades</t>
  </si>
  <si>
    <t>TS176</t>
  </si>
  <si>
    <t>Industrial management.,Production engineering.</t>
  </si>
  <si>
    <t>Tarvin, Patrick</t>
  </si>
  <si>
    <t>Direct Processing of Long Fiber Reinforced Thermoplastic Composites and Their Mechanical Behavior Under Static and Dynamic Load</t>
  </si>
  <si>
    <t>TP1180.T5</t>
  </si>
  <si>
    <t>Composite materials.,Fibrous composites.,Materials--Fatigue.,Thermoplastics.</t>
  </si>
  <si>
    <t>Rohde-Tibitanzl, Melanie</t>
  </si>
  <si>
    <t>Extrusion Dies for Plastics and Rubber</t>
  </si>
  <si>
    <t>Design and Engineering Computations</t>
  </si>
  <si>
    <t>Plastics--Extrusion.,Rubber--Extrusion.</t>
  </si>
  <si>
    <t>Michaeli, Walter-Hopmann, Christian</t>
  </si>
  <si>
    <t>Rheological and Morphological Properties of Dispersed Polymeric Materials</t>
  </si>
  <si>
    <t>Filled Polymers and Polymer Blends</t>
  </si>
  <si>
    <t>TA455.P58 M86 2016</t>
  </si>
  <si>
    <t>Polymers--Formability.,Polymers--Rheology.</t>
  </si>
  <si>
    <t>MuÌˆnstedt, Helmut</t>
  </si>
  <si>
    <t>Composite Technology</t>
  </si>
  <si>
    <t>Prepregs and Monolithic Part Fabrication Technologies</t>
  </si>
  <si>
    <t>TA418.9.R4 C66 2016</t>
  </si>
  <si>
    <t>Fibrous composites.,Polymeric composites.,Reinforced plastics.</t>
  </si>
  <si>
    <t>Lengsfeld, Hauke</t>
  </si>
  <si>
    <t>Hanser ELibrary</t>
  </si>
  <si>
    <t>Plastic Surface Modification</t>
  </si>
  <si>
    <t>Surface Treatment and Adhesion</t>
  </si>
  <si>
    <t>TA418.76</t>
  </si>
  <si>
    <t>Adhesion.,Plastic coatings.,Plastics--Surfaces.,Surface active agents.,Surface preparation.</t>
  </si>
  <si>
    <t>Wolf, Rory A.</t>
  </si>
  <si>
    <t>The First Snap-Fit Handbook</t>
  </si>
  <si>
    <t>Creating and Managing Attachments for Plastics Parts</t>
  </si>
  <si>
    <t>TS178.4 .B64 2016</t>
  </si>
  <si>
    <t>Assembly-line methods.,Fasteners--Design and construction.,Plastics--Molding.,Production engineering.</t>
  </si>
  <si>
    <t>Bonenberger, Paul R.</t>
  </si>
  <si>
    <t>Injection Molding Process Control, Monitoring, and Optimization</t>
  </si>
  <si>
    <t>TP1150 .Y36 2017</t>
  </si>
  <si>
    <t>Injection molding of plastics.</t>
  </si>
  <si>
    <t>Yang, Yi-Chen, Xi-Lu, Ningyun-Gao, Furong</t>
  </si>
  <si>
    <t>Additive Manufacturing</t>
  </si>
  <si>
    <t>3D Printing for Prototyping and Manufacturing</t>
  </si>
  <si>
    <t>TECHNOLOGY &amp; ENGINEERING / Mechanical</t>
  </si>
  <si>
    <t>TS171.95 .G43 2016</t>
  </si>
  <si>
    <t>Manufacturing processes--Automation.,Three-dimensional printing.</t>
  </si>
  <si>
    <t>Gebhardt, Andreas-HoÌˆtter, Jan-Steffen</t>
  </si>
  <si>
    <t>Flame Retardants for Plastics and Textiles</t>
  </si>
  <si>
    <t>Practical Applications</t>
  </si>
  <si>
    <t>TECHNOLOGY &amp; ENGINEERING / Environmental / General</t>
  </si>
  <si>
    <t>TP266.5 .W45 2016eb</t>
  </si>
  <si>
    <t>Fire resistant plastics.,Fireproofing agents.,Fireproofing of fabrics.</t>
  </si>
  <si>
    <t>Weil, Edward D.-Levchik, Sergei V.</t>
  </si>
  <si>
    <t>User's Guide to Plastic</t>
  </si>
  <si>
    <t>TA455.P5 B78 2015</t>
  </si>
  <si>
    <t>Plastics--Handbooks, manuals, etc.</t>
  </si>
  <si>
    <t>Bruder, Ulf</t>
  </si>
  <si>
    <t>Injection Mold Design Engineering</t>
  </si>
  <si>
    <t>TP1150 .K39 2016</t>
  </si>
  <si>
    <t>Kazmer, David</t>
  </si>
  <si>
    <t>Diagnostics of Extrusion Processes</t>
  </si>
  <si>
    <t>TJ1450 .R36 2014eb</t>
  </si>
  <si>
    <t>Extrusion process.,Polymers--Extrusion.</t>
  </si>
  <si>
    <t>Rao, Natti S.</t>
  </si>
  <si>
    <t>Textile Technology</t>
  </si>
  <si>
    <t>TECHNOLOGY &amp; ENGINEERING / Textiles &amp; Polymers</t>
  </si>
  <si>
    <t>TS1445</t>
  </si>
  <si>
    <t>Textile fabrics.</t>
  </si>
  <si>
    <t>Gries, Thomas.-Veit, Dieter.-Wulfhorst, Burkhard.</t>
  </si>
  <si>
    <t>Atlas of Polymer Structures</t>
  </si>
  <si>
    <t>Morphology, Deformation and Fracture Structures</t>
  </si>
  <si>
    <t>TP979 .M53 2016</t>
  </si>
  <si>
    <t>Chemical structure--Atlases.,Plastics--Atlases.,Polymers--Microstructure--Atlases.,Resinography--Atlases.</t>
  </si>
  <si>
    <t>Michler, Goerg H.</t>
  </si>
  <si>
    <t>Troubleshooting Rubber Problems</t>
  </si>
  <si>
    <t>TS1890 .S665 2013eb</t>
  </si>
  <si>
    <t>Rubber goods.,Rubber.</t>
  </si>
  <si>
    <t>Sommer, John G.</t>
  </si>
  <si>
    <t>Three-Dimensional Molded Interconnect Devices (3D-MID)</t>
  </si>
  <si>
    <t>Materials, Manufacturing, Assembly and Applications for Injection Molded Circuit Carriers</t>
  </si>
  <si>
    <t>TK7874.53 .F7713 2014</t>
  </si>
  <si>
    <t>Injection molding of plastics.,Interconnects (Integrated circuit technology)--Design and construction.</t>
  </si>
  <si>
    <t>Franke, JoÌˆrg</t>
  </si>
  <si>
    <t>Mold-Making Handbook</t>
  </si>
  <si>
    <t>TP1150</t>
  </si>
  <si>
    <t>Plastics--Molds.</t>
  </si>
  <si>
    <t>Mennig, GuÌˆnter-Stoeckhert, Klaus</t>
  </si>
  <si>
    <t>Polymer Testing</t>
  </si>
  <si>
    <t>TA455.P58</t>
  </si>
  <si>
    <t>Polymers--Testing.</t>
  </si>
  <si>
    <t>Grellmann, Wolfgang-Seidler, Sabine-AlstaÌˆdt, V.</t>
  </si>
  <si>
    <t>Handbook of Plastics Failure Analysis</t>
  </si>
  <si>
    <t>TA455.P5</t>
  </si>
  <si>
    <t>Plastics--Fracture--Handbooks, manuals, etc.</t>
  </si>
  <si>
    <t>Kurr, Friedrich</t>
  </si>
  <si>
    <t>PVC Additives</t>
  </si>
  <si>
    <t>Performance, Chemistry, Developments, and Sustainability</t>
  </si>
  <si>
    <t>TP1180.V48</t>
  </si>
  <si>
    <t>Polymers.,Polyvinyl chloride.</t>
  </si>
  <si>
    <t>Schiller, Michael</t>
  </si>
  <si>
    <t>Simple Methods for Identification of Plastics</t>
  </si>
  <si>
    <t>TP1140 .B7213 2013</t>
  </si>
  <si>
    <t>Plastics--Analysis.</t>
  </si>
  <si>
    <t>Braun, Dietrich.</t>
  </si>
  <si>
    <t>Polymer Extrusion</t>
  </si>
  <si>
    <t>Plastics--Extrusion.</t>
  </si>
  <si>
    <t>Rauwendaal, Chris</t>
  </si>
  <si>
    <t>Modeling and Managing Complex Systems</t>
  </si>
  <si>
    <t>Proceedings of the 17th International DSM Conference Fort Worth (Texas, USA), 4-6 November 2015</t>
  </si>
  <si>
    <t>HD61</t>
  </si>
  <si>
    <t>Risk management--Congresses.</t>
  </si>
  <si>
    <t>Browning, Tyson R.-Eppinger, Steven D.-Schmidt, Danilo-Lindemann, Udo</t>
  </si>
  <si>
    <t>Reducing Risk in Innovation</t>
  </si>
  <si>
    <t>Proceedings of the 15th International DSM Conference Melbourne, Australia, 28-30 August 2013</t>
  </si>
  <si>
    <t>HD29</t>
  </si>
  <si>
    <t>Industrial management--Congresses.,Risk management--Congresses.,Technological innovations--Management--Congresses.</t>
  </si>
  <si>
    <t>Scheurmann, Elke</t>
  </si>
  <si>
    <t>Gain Competitive Advantage by Managing Complexity</t>
  </si>
  <si>
    <t>Proceedings of the 14th International DSM Conference Kyoto, Japan 2012</t>
  </si>
  <si>
    <t>TA168 .I526532 2012eb</t>
  </si>
  <si>
    <t>Engineering design--Data processing--Congresses.,Engineering models--Congresses.,Industrial engineering--Congresses.,Product design--Congresses.,Systems engineering--Congresses.</t>
  </si>
  <si>
    <t>OÌ„nishi, Moritoyo-Maurer, Maik-Kirner, Katharina-Lindemann, Udo</t>
  </si>
  <si>
    <t>This Realm of New Zealand</t>
  </si>
  <si>
    <t>The Sovereign, the Governor-General, the Crown</t>
  </si>
  <si>
    <t>LAW / Constitutional</t>
  </si>
  <si>
    <t>JQ5840</t>
  </si>
  <si>
    <t>Executive power--New Zealand.,Governors general--New Zealand.</t>
  </si>
  <si>
    <t>Quentin-Baxter, Alison.-McLean, Janet.</t>
  </si>
  <si>
    <t>Strangers Arrive</t>
  </si>
  <si>
    <t>EmigrÃ©s and the Arts in New Zealand, 1930â€“1980</t>
  </si>
  <si>
    <t>ART / Australian &amp; Oceanian</t>
  </si>
  <si>
    <t>DU422.5</t>
  </si>
  <si>
    <t>Immigrants--New Zealand--History--20th century.,Refugees--Europe--History--20th century.</t>
  </si>
  <si>
    <t>Bell, Leonard</t>
  </si>
  <si>
    <t>Robert Garnier in Elizabethan England</t>
  </si>
  <si>
    <t>Mary Sidney Herbert's Antonius and Thomas Kyd's Cornelia</t>
  </si>
  <si>
    <t>Modern Humanities Research Association (MHRA)</t>
  </si>
  <si>
    <t>Modern Humanities Research Association</t>
  </si>
  <si>
    <t>DRAMA / European / General</t>
  </si>
  <si>
    <t>PQ1625.G2 P45 2017eb</t>
  </si>
  <si>
    <t>Garnier, Robert-Pembroke, Mary Sidney Herbert-Kyd, Thomas-Belle, Marie-Alice-Cottegnies, Line</t>
  </si>
  <si>
    <t>MHRA Tudor &amp; Stuart Translations; Volume 16</t>
  </si>
  <si>
    <t>Homer's Iliad</t>
  </si>
  <si>
    <t>LITERARY COLLECTIONS / European / General</t>
  </si>
  <si>
    <t>PA4025.A2</t>
  </si>
  <si>
    <t>Epic poetry, Greek--Translations into English.,Trojan War--Poetry.</t>
  </si>
  <si>
    <t>Homer-Chapman, George-Modern Humanities Research Association.-Miola, Robert S.</t>
  </si>
  <si>
    <t>MHRA Tudor &amp; Stuart Translations</t>
  </si>
  <si>
    <t>Michel-Jean Sedaine</t>
  </si>
  <si>
    <t>TheÌaÌ‚tre de la ReÌvolution</t>
  </si>
  <si>
    <t>POETRY / European / General</t>
  </si>
  <si>
    <t>PQ2066.S6 A6 2017eb</t>
  </si>
  <si>
    <t>fre</t>
  </si>
  <si>
    <t>Sedaine-Darlow, Mark</t>
  </si>
  <si>
    <t>MHRA Critical texts</t>
  </si>
  <si>
    <t>PsiquiatrÃ­a de la elipse</t>
  </si>
  <si>
    <t>Aventuras del sujeto en creaciÃ³n</t>
  </si>
  <si>
    <t>Fondo Editorial Universidad de Lima</t>
  </si>
  <si>
    <t>LITERARY CRITICISM / Semiotics &amp; Theory</t>
  </si>
  <si>
    <t>RJ505.A7</t>
  </si>
  <si>
    <t>Art therapy for children.,Child psychotherapy--France--Case studies.,Semiotics--Psychological aspects.</t>
  </si>
  <si>
    <t>spa</t>
  </si>
  <si>
    <t>Darrault, Ivan.-Klein, Jean-Pierre.-Blanco, Desiderio</t>
  </si>
  <si>
    <t>De las formas de vida a los valores</t>
  </si>
  <si>
    <t>P99</t>
  </si>
  <si>
    <t>Semiotics and literature.,Semiotics.</t>
  </si>
  <si>
    <t>Zilberberg, Claude-Blanco, Desiderio.</t>
  </si>
  <si>
    <t>Manual de diseÃ±o generativo</t>
  </si>
  <si>
    <t>ART / Techniques / General</t>
  </si>
  <si>
    <t>N7433.83</t>
  </si>
  <si>
    <t>Computer art--Study and teaching.,Computer drawing--Special effects.,Computer graphics.,Computer-aided design.</t>
  </si>
  <si>
    <t>Roncoroni, Umberto</t>
  </si>
  <si>
    <t>Debates presidenciales televisados en el PerÃº (1990-2011)</t>
  </si>
  <si>
    <t>Una aproximaciÃ³n semiÃ³tica</t>
  </si>
  <si>
    <t>JF2112.D43</t>
  </si>
  <si>
    <t>Campaign debates--Peru.,Political campaigns--Peru.,Presidential candidates--Peru.,Presidents--Peru--Election.,Television in politics--Peru.</t>
  </si>
  <si>
    <t>Kanashiro, Lilian</t>
  </si>
  <si>
    <t>Prospectiva empresarial</t>
  </si>
  <si>
    <t>Manual de corporate foresight para AmÃ©rica Latina</t>
  </si>
  <si>
    <t>BUSINESS &amp; ECONOMICS / Strategic Planning</t>
  </si>
  <si>
    <t>HD30.28</t>
  </si>
  <si>
    <t>Strategic planning--Latin America.</t>
  </si>
  <si>
    <t>Ortega San MartiÌn, Fernando.</t>
  </si>
  <si>
    <t>EstadÃ­stica aplicada a la ingenierÃ­a y los negocios</t>
  </si>
  <si>
    <t>MATHEMATICS / Probability &amp; Statistics / General</t>
  </si>
  <si>
    <t>HA29.5.S7 M55 2017</t>
  </si>
  <si>
    <t>Commercial statistics.,Engineering--Statistical methods.,Statistics.</t>
  </si>
  <si>
    <t>Millones, Rosa-Barreno, Emma-VaÌsquez, FeÌlix-Castillo, Carlos</t>
  </si>
  <si>
    <t>Manual de combustibles alternativos y tecnologÃ­a automotriz</t>
  </si>
  <si>
    <t>TECHNOLOGY &amp; ENGINEERING / Environmental / Pollution Control</t>
  </si>
  <si>
    <t>TL214.F8</t>
  </si>
  <si>
    <t>Alternative fuel vehicles--Fuel systems.,Automobiles--Fuel systems.,Fuel switching.</t>
  </si>
  <si>
    <t>GonÌƒi DelioÌn, Juan Carlos.-Rojas Delgado, Mario.</t>
  </si>
  <si>
    <t>Simply by Sailing in a New Direction</t>
  </si>
  <si>
    <t>Allen Curnow: A Biography</t>
  </si>
  <si>
    <t>BIOGRAPHY &amp; AUTOBIOGRAPHY / Literary Figures</t>
  </si>
  <si>
    <t>PR9639.3.C8</t>
  </si>
  <si>
    <t>Poets--Biography.</t>
  </si>
  <si>
    <t>Sturm, Terry-Cassells, Linda</t>
  </si>
  <si>
    <t>The Biggest Prison on Earth</t>
  </si>
  <si>
    <t>A History of the Occupied Territories</t>
  </si>
  <si>
    <t>Oneworld Publications</t>
  </si>
  <si>
    <t>HISTORY / Middle East / Israel &amp; Palestine</t>
  </si>
  <si>
    <t>DS119.76</t>
  </si>
  <si>
    <t>Arab-Israeli conflict--Occupied territories.,Israel-Arab War, 1948-1949--Social aspects.,Israel-Arab War, 1967--Occupied territories--Social aspects.,Palestinian Arabs--Civil rights.,Palestinian Arabs--Gaza Strip--Social conditions.,Palestinian Arabs--West Bank--Social conditions.</t>
  </si>
  <si>
    <t>PappeÌ, Ilan</t>
  </si>
  <si>
    <t>The Middle East</t>
  </si>
  <si>
    <t>HISTORY / Middle East / General</t>
  </si>
  <si>
    <t>DS62 .R635 2016</t>
  </si>
  <si>
    <t>History.</t>
  </si>
  <si>
    <t>Robins, Philip.-Recorded Books, Inc.</t>
  </si>
  <si>
    <t>Beginner's Guides</t>
  </si>
  <si>
    <t>Stalin</t>
  </si>
  <si>
    <t>HISTORY / Russia &amp; the Former Soviet Union</t>
  </si>
  <si>
    <t>DK268.S8</t>
  </si>
  <si>
    <t>Dictators--Soviet Union.</t>
  </si>
  <si>
    <t>Ascher, Abraham</t>
  </si>
  <si>
    <t>Oneworld Beginner's Guides</t>
  </si>
  <si>
    <t>Redes cercanas</t>
  </si>
  <si>
    <t>El capital social en Lima</t>
  </si>
  <si>
    <t>SOCIAL SCIENCE / Sociology / General</t>
  </si>
  <si>
    <t>HM708</t>
  </si>
  <si>
    <t>Interpersonal relations--Peru--Lima.,Social capital (Sociology)--Peru--Lima.,Social networks--Peru--Lima.</t>
  </si>
  <si>
    <t>DiÌaz-Albertini Figueras, Javier.</t>
  </si>
  <si>
    <t>EsplÃ©ndida iracundia</t>
  </si>
  <si>
    <t>AntologÃ­a consultada de la poesÃ­a peruana 1968-2008</t>
  </si>
  <si>
    <t>LITERARY CRITICISM / Poetry</t>
  </si>
  <si>
    <t>PQ8458 .E77 2017</t>
  </si>
  <si>
    <t>Peruvian poetry--20th century.,Peruvian poetry--21st century.</t>
  </si>
  <si>
    <t>LoÌpez Degregori, Carlos-Chueca, Luis Fernando-GuÌˆich RodriÌguez, JoseÌ-Susti, Alejandro</t>
  </si>
  <si>
    <t>ColeccioÌn Investigaciones</t>
  </si>
  <si>
    <t>SemiÃ³tica tensiva</t>
  </si>
  <si>
    <t>P281</t>
  </si>
  <si>
    <t>Semiotics.</t>
  </si>
  <si>
    <t>Zilberberg, Claude.</t>
  </si>
  <si>
    <t>EpifanÃ­as de la presencia</t>
  </si>
  <si>
    <t>Ensayos semio-estÃ©ticos</t>
  </si>
  <si>
    <t>B105.P64 P37 2017</t>
  </si>
  <si>
    <t>Epiphany--Art.,Presentation (Philosophy),Semiotics.</t>
  </si>
  <si>
    <t>Parret, Herman-Blanco, Desiderio</t>
  </si>
  <si>
    <t>Presencias del otro</t>
  </si>
  <si>
    <t>P99.4.S62</t>
  </si>
  <si>
    <t>Semiotics--Social aspects.</t>
  </si>
  <si>
    <t>Landowski, Eric.</t>
  </si>
  <si>
    <t>TensiÃ³n y significaciÃ³n</t>
  </si>
  <si>
    <t>P99 .F666 2016</t>
  </si>
  <si>
    <t>Discourse analysis.,Semiotics.</t>
  </si>
  <si>
    <t>Fontanille, Jacques.-Zilberberg, Claude</t>
  </si>
  <si>
    <t>Soma y sema</t>
  </si>
  <si>
    <t>Figuras semiÃ³ticas del cuerpo</t>
  </si>
  <si>
    <t>Human body--Symbolic aspects.,Physical anthropology.,Semiotics.</t>
  </si>
  <si>
    <t>Fontanille, Jacques.</t>
  </si>
  <si>
    <t>FilosofÃ­a y software</t>
  </si>
  <si>
    <t>La cultura digital detrÃ¡s de la pantalla</t>
  </si>
  <si>
    <t>PHILOSOPHY / Aesthetics</t>
  </si>
  <si>
    <t>QA76.76.D47</t>
  </si>
  <si>
    <t>Computer art--Social aspects.,Computer software--Development--Social aspects.,Systems engineering--Social aspects.</t>
  </si>
  <si>
    <t>Roncoroni, Umberto.</t>
  </si>
  <si>
    <t>Lenguas y devenires en pugna</t>
  </si>
  <si>
    <t>En torno a la posmodernidad</t>
  </si>
  <si>
    <t>PHILOSOPHY / Language</t>
  </si>
  <si>
    <t>B831.2</t>
  </si>
  <si>
    <t>Postmodernism.</t>
  </si>
  <si>
    <t>Hevia Garrido Lecca, Julio.</t>
  </si>
  <si>
    <t>Historia de los sismos en el PerÃº</t>
  </si>
  <si>
    <t>CatÃ¡logo: Siglos XVIII-XIX</t>
  </si>
  <si>
    <t>QE535.2.P4</t>
  </si>
  <si>
    <t>Earthquakes--Peru--History--18th century--Chronology.,Earthquakes--Peru--History--18th century--Sources.,Earthquakes--Peru--History--19th century--Chronology.,Earthquakes--Peru--History--19th century--Sources.</t>
  </si>
  <si>
    <t>Seiner LizaÌrraga, Lizardo.</t>
  </si>
  <si>
    <t>Del otro lado del espejo</t>
  </si>
  <si>
    <t>La literatura fantÃ¡stica peruana</t>
  </si>
  <si>
    <t>LITERARY CRITICISM / American / Hispanic American</t>
  </si>
  <si>
    <t>PQ8407.F27</t>
  </si>
  <si>
    <t>Fantasy literature, Peruvian--History and criticism.,Peruvian fiction--20th century--History and criticism.</t>
  </si>
  <si>
    <t>GuÌˆich RodriÌguez, JoseÌ.</t>
  </si>
  <si>
    <t>Interculturalidad y sujeto migrante en la poesÃ­a de Vallejo, Cisneros y Watanabe</t>
  </si>
  <si>
    <t>PQ8497.V35</t>
  </si>
  <si>
    <t>Immigrants in literature.,Peruvian poetry--History and criticism.</t>
  </si>
  <si>
    <t>FernaÌndez Cozman, Camilo</t>
  </si>
  <si>
    <t>El feudo, la comarca y la feria</t>
  </si>
  <si>
    <t>La privatizaciÃ³n del espacio pÃºblico en Lima</t>
  </si>
  <si>
    <t>HT185 .D53 2016</t>
  </si>
  <si>
    <t>Privatization--Peru--Lima.,Public spaces--Peru--Lima.</t>
  </si>
  <si>
    <t>DiÌaz Albertini, Javier</t>
  </si>
  <si>
    <t>No Way Out</t>
  </si>
  <si>
    <t>The Irish in Wartime France, 1939â€“1945</t>
  </si>
  <si>
    <t>Mercier Press</t>
  </si>
  <si>
    <t>HISTORY / Military / World War II</t>
  </si>
  <si>
    <t>DC397</t>
  </si>
  <si>
    <t>Irish--France--History--20th century.,World War, 1939-1945--France.</t>
  </si>
  <si>
    <t>Ryan, Isadore.</t>
  </si>
  <si>
    <t>I Die in a Good Cause â€“</t>
  </si>
  <si>
    <t>Thomas Ashe: A Biography</t>
  </si>
  <si>
    <t>Lightning Source Inc. (Tier 1)</t>
  </si>
  <si>
    <t>HISTORY / Europe / Ireland</t>
  </si>
  <si>
    <t>DA965.A75</t>
  </si>
  <si>
    <t>Revolutionaries--Ireland--Biography.</t>
  </si>
  <si>
    <t>OÌ LuÌing, SeaÌn.</t>
  </si>
  <si>
    <t>Film Museum Practice and Film Historiography</t>
  </si>
  <si>
    <t>PN1993.42.N48 L36 2017eb</t>
  </si>
  <si>
    <t>Motion pictures--Netherlands--History--20th century.</t>
  </si>
  <si>
    <t>Lameris, Bregt</t>
  </si>
  <si>
    <t>Framing Film</t>
  </si>
  <si>
    <t>The Datafied Society</t>
  </si>
  <si>
    <t>HM851 .D38 2017eb</t>
  </si>
  <si>
    <t>Big data--Moral and ethical aspects.,Digital humanities--Research.</t>
  </si>
  <si>
    <t>Mirko Tobias SchÃ¤fer-Karin van Es</t>
  </si>
  <si>
    <t>Fanfiction and the Author</t>
  </si>
  <si>
    <t>PN3377.5.F33 F38 2017eb</t>
  </si>
  <si>
    <t>Fan fiction.,Literature and the Internet.,Popular culture.</t>
  </si>
  <si>
    <t>Fathallah, Judith</t>
  </si>
  <si>
    <t>OCR AS Level Music Revision Guide</t>
  </si>
  <si>
    <t>Rhinegold Education</t>
  </si>
  <si>
    <t>STUDY AIDS / Study Guides</t>
  </si>
  <si>
    <t>MT9</t>
  </si>
  <si>
    <t>Music--Examinations, questions, etc.,Music--Examinations--Study guides.</t>
  </si>
  <si>
    <t>Chadwick-Guest, Angela</t>
  </si>
  <si>
    <t>Anatomy of a Suicide</t>
  </si>
  <si>
    <t>Oberon Books</t>
  </si>
  <si>
    <t>DRAMA / European / English, Irish, Scottish, Welsh</t>
  </si>
  <si>
    <t>PR6102.I72 A53 2017eb</t>
  </si>
  <si>
    <t>Suicide--Drama.</t>
  </si>
  <si>
    <t>Birch, Alice</t>
  </si>
  <si>
    <t>NOA NOA BY PAUL GAUGUIN AND CHARLES MORICE</t>
  </si>
  <si>
    <t>With 'manuscrit Tire Du Livre Des Metiers De Vehbi-zumbul Zadiby Paul Gauguin;</t>
  </si>
  <si>
    <t>ART / History / General</t>
  </si>
  <si>
    <t>ND553.G27</t>
  </si>
  <si>
    <t>CLAIRE MORAN.</t>
  </si>
  <si>
    <t>Making Modern Australia</t>
  </si>
  <si>
    <t>The Whitlam Government's 21st Century Agenda</t>
  </si>
  <si>
    <t>POLITICAL SCIENCE / Political Process / General</t>
  </si>
  <si>
    <t>JQ4098.L3</t>
  </si>
  <si>
    <t>Social change--Law and legislation--Australia.</t>
  </si>
  <si>
    <t>Hocking, Jenny</t>
  </si>
  <si>
    <t>Slow Catastrophes</t>
  </si>
  <si>
    <t>Living with Drought in Australia</t>
  </si>
  <si>
    <t>QC929.28.A8</t>
  </si>
  <si>
    <t>Climatic changes--Australia.,Drought management--Australia.,Droughts--Australia.,Droughts--Australia--History.,Global warming--Australia.</t>
  </si>
  <si>
    <t>Jones, Rebecca</t>
  </si>
  <si>
    <t>Hamlet</t>
  </si>
  <si>
    <t>PR2807.A2 .I35 2017</t>
  </si>
  <si>
    <t>Shakespeare, William-Icke, Robert</t>
  </si>
  <si>
    <t>Speak Well of Me: The Authorised Biography of Ronald Harwood</t>
  </si>
  <si>
    <t>The Authorised Biography of Ronald Harwood</t>
  </si>
  <si>
    <t>BIOGRAPHY &amp; AUTOBIOGRAPHY / Entertainment &amp; Performing Arts</t>
  </si>
  <si>
    <t>PR6058.A73</t>
  </si>
  <si>
    <t>Dramatists, South African--Biography.,Screenwriters--South Africa--Biography.</t>
  </si>
  <si>
    <t>Robinson, W. Sydney</t>
  </si>
  <si>
    <t>Commemorating Mirabeau</t>
  </si>
  <si>
    <t>Mirabeau Aux Champs-ElyseÌes and Other Texts</t>
  </si>
  <si>
    <t>DRAMA / European / French</t>
  </si>
  <si>
    <t>PQ1221 .C65 2017eb</t>
  </si>
  <si>
    <t>French drama--18th century.,French drama--18th century--Criticism and interpretation.</t>
  </si>
  <si>
    <t>Goodman, Jessica Mary-Gouges, Olympe de-Dejaure</t>
  </si>
  <si>
    <t>MHRA Critical Text</t>
  </si>
  <si>
    <t>Barber Shop Chronicles</t>
  </si>
  <si>
    <t>PR9387.9.E348 B37 2017eb</t>
  </si>
  <si>
    <t>Barbershops--Drama.,Hairdressing--Drama.</t>
  </si>
  <si>
    <t>Ellams, Inua.</t>
  </si>
  <si>
    <t>A Historian for All Seasons</t>
  </si>
  <si>
    <t>Essays for Geoffrey Bolton</t>
  </si>
  <si>
    <t>HISTORY / Australia &amp; New Zealand</t>
  </si>
  <si>
    <t>DU121</t>
  </si>
  <si>
    <t>National characteristics, Australian.</t>
  </si>
  <si>
    <t>Bolton, Geoffrey-Macintyre, Stuart-Gregory, Jenny-Layman, Lenore</t>
  </si>
  <si>
    <t>Unmanageable Revolutionaries - New Edition: Women And Irish Nationalism</t>
  </si>
  <si>
    <t>Book Network Int'l Limited trading as NBN International (NBNi)</t>
  </si>
  <si>
    <t>Pluto Press</t>
  </si>
  <si>
    <t>Margaret Ward</t>
  </si>
  <si>
    <t>The Wills Eye Manual</t>
  </si>
  <si>
    <t>Office and Emergency Room Diagnosis and Treatment of Eye Disease</t>
  </si>
  <si>
    <t>MEDICAL / Ophthalmology</t>
  </si>
  <si>
    <t>RE48.9</t>
  </si>
  <si>
    <t>Eye--Diseases--Handbooks, manuals, etc.,Ophthalmologic emergencies--Handbooks, manuals, etc.</t>
  </si>
  <si>
    <t>Bagheri, Nika-Wills Eye Hospital (Philadelphia, Pa.)-Wajda, Brynn N.</t>
  </si>
  <si>
    <t>Museums in a Digital Culture</t>
  </si>
  <si>
    <t>AM125</t>
  </si>
  <si>
    <t>Communication in museums.,Museums--Information technology.</t>
  </si>
  <si>
    <t>Akker, Chiel van den-LegeÌ‚ne, Susan</t>
  </si>
  <si>
    <t>A New Dawn for the Second Sex</t>
  </si>
  <si>
    <t>HQ1155 .V56 2017eb</t>
  </si>
  <si>
    <t>Feminism--Cross-cultural studies.,Feminism--History.,Male domination (Social structure),Women's rights.,Women--Social conditions.</t>
  </si>
  <si>
    <t>Vintges, Karen</t>
  </si>
  <si>
    <t>Visions of the End in Medieval Spain</t>
  </si>
  <si>
    <t>ND3361.R52 B436 2017eb</t>
  </si>
  <si>
    <t>Manuscripts, Medieval--Spain.</t>
  </si>
  <si>
    <t>Williams, John-Martin, Therese</t>
  </si>
  <si>
    <t>Late Antique and Early Medieval Iberia</t>
  </si>
  <si>
    <t>Wakey Wakey</t>
  </si>
  <si>
    <t>DRAMA / American / General</t>
  </si>
  <si>
    <t>PS3555.N652</t>
  </si>
  <si>
    <t>Death--Drama.,Life--Drama.</t>
  </si>
  <si>
    <t>Eno, Will.</t>
  </si>
  <si>
    <t>Required Reading</t>
  </si>
  <si>
    <t>Literature in Australian Schools Since 1945</t>
  </si>
  <si>
    <t>PN71.A8 R47 2017eb</t>
  </si>
  <si>
    <t>Australian literature--Study and teaching (Secondary),Literature--Study and teaching (Secondary),Reading (Secondary)</t>
  </si>
  <si>
    <t>Dolin, Tim-Jones, Jo-Dowsett, Patricia</t>
  </si>
  <si>
    <t>Literary Studies</t>
  </si>
  <si>
    <t>Australian Lives</t>
  </si>
  <si>
    <t>An Intimate History</t>
  </si>
  <si>
    <t>DU107 .P87 2017eb</t>
  </si>
  <si>
    <t>Australians--Interviews.,Australians--Social life and customs--20th century.</t>
  </si>
  <si>
    <t>Puri, Anisa-Thomson, Alistair</t>
  </si>
  <si>
    <t>Estudio sobre tecnologÃ­as de informaciÃ³n y telecomunicaciones en el sector minero energÃ©tico peruano 2014-2015</t>
  </si>
  <si>
    <t>Universidad ESAN</t>
  </si>
  <si>
    <t>HD9506.P42</t>
  </si>
  <si>
    <t>Benchmarking (Management)--Peru.,Information technology--Peru.,Mines and mineral resources--Technological innovations--Peru.,Power resources--Technological innovations--Peru.</t>
  </si>
  <si>
    <t>Morris Abarca, Eddy.-Serida Nishimura, Jaime.</t>
  </si>
  <si>
    <t>Making Mischief: Two Radical New Plays</t>
  </si>
  <si>
    <t>PR1272.2 .M57 2017</t>
  </si>
  <si>
    <t>Friendship--Drama.,Journalists--Drama.,Large Hadron Collider (France and Switzerland)--Drama.,Scientists--Drama.</t>
  </si>
  <si>
    <t>Morton-Smith, Tom-Hartley, Matt-Housley, Kirsty-Morton-Smith, Tom.-Housley, Kirsty.</t>
  </si>
  <si>
    <t>Oberon Modern Playwrights</t>
  </si>
  <si>
    <t>Medical Management of Type 1 Diabetes</t>
  </si>
  <si>
    <t>American Diabetes Association</t>
  </si>
  <si>
    <t>MEDICAL / Clinical Medicine</t>
  </si>
  <si>
    <t>RC660</t>
  </si>
  <si>
    <t>Diabetes--Treatment.</t>
  </si>
  <si>
    <t>Low Wang, Cecilia C.</t>
  </si>
  <si>
    <t>La inevitable globalizaciÃ³n</t>
  </si>
  <si>
    <t>Enfoque cultural y econÃ³mico del escenario mundial</t>
  </si>
  <si>
    <t>Universidad Peruana de Ciencias Aplicadas</t>
  </si>
  <si>
    <t>BUSINESS &amp; ECONOMICS / Research &amp; Development</t>
  </si>
  <si>
    <t>HF1365</t>
  </si>
  <si>
    <t>Globalization--Economic aspects.,Globalization--Political aspects.,Globalization--Social aspects.,International trade--Social aspects.</t>
  </si>
  <si>
    <t>SaÌnchez Benavides, Oscar</t>
  </si>
  <si>
    <t>The Brothers</t>
  </si>
  <si>
    <t>DRAMA / African</t>
  </si>
  <si>
    <t>PT6592.14.E93</t>
  </si>
  <si>
    <t>Brothers--Russia--Drama.</t>
  </si>
  <si>
    <t>De Wet, Reza</t>
  </si>
  <si>
    <t>MS Excel</t>
  </si>
  <si>
    <t>Let's Advance to The Next Level</t>
  </si>
  <si>
    <t>Business Expert Press</t>
  </si>
  <si>
    <t>BUSINESS &amp; ECONOMICS / Management Science</t>
  </si>
  <si>
    <t>HF5548.4.M523</t>
  </si>
  <si>
    <t>Electronic spreadsheets.</t>
  </si>
  <si>
    <t>Singal, Anurag</t>
  </si>
  <si>
    <t>Quantitative Approaches to Decision Making Collection</t>
  </si>
  <si>
    <t>Tears of Rangi</t>
  </si>
  <si>
    <t>Experiments Across Worlds</t>
  </si>
  <si>
    <t>HISTORY / Oceania</t>
  </si>
  <si>
    <t>Cosmology, Maori.,Maori (New Zealand people)--First contact with Europeans.,Maori (New Zealand people)--History.,Maori (New Zealand people)--Social life and customs.,Ontology.</t>
  </si>
  <si>
    <t>Salmond, Anne</t>
  </si>
  <si>
    <t>Selected Early Poems</t>
  </si>
  <si>
    <t>POETRY / European / English, Irish, Scottish, Welsh</t>
  </si>
  <si>
    <t>PR5526 .D47 2017eb</t>
  </si>
  <si>
    <t>English poetry--20th century.</t>
  </si>
  <si>
    <t>Symons, Arthur</t>
  </si>
  <si>
    <t>Jewelled Tortoise</t>
  </si>
  <si>
    <t>Socialising Transgender</t>
  </si>
  <si>
    <t>Support for Transition</t>
  </si>
  <si>
    <t>SOCIAL SCIENCE / Popular Culture</t>
  </si>
  <si>
    <t>HQ77.9 .N66 2017</t>
  </si>
  <si>
    <t>Transgender people--Social conditions.</t>
  </si>
  <si>
    <t>Norman, Kate</t>
  </si>
  <si>
    <t>Policy and Practice in Health and Social Care</t>
  </si>
  <si>
    <t>Child Protection and Disability</t>
  </si>
  <si>
    <t>Methodological and Practical Challenges for Research</t>
  </si>
  <si>
    <t>POLITICAL SCIENCE / Public Policy / Social Services &amp; Welfare</t>
  </si>
  <si>
    <t>HV888 .F79 2017</t>
  </si>
  <si>
    <t>People with disabilities.,People with disabilities--Research.</t>
  </si>
  <si>
    <t>Fry, Deborah</t>
  </si>
  <si>
    <t>Protecting Children and Young People</t>
  </si>
  <si>
    <t>Writing Diverse Characters for Fiction, TV or Film</t>
  </si>
  <si>
    <t>Creative Essentials</t>
  </si>
  <si>
    <t>REFERENCE / Writing Skills</t>
  </si>
  <si>
    <t>PN3355</t>
  </si>
  <si>
    <t>Fiction--Authorship.,Fiction--Technique.,Motion picture authorship.,Television authorship.</t>
  </si>
  <si>
    <t>Hay, Lucy V.</t>
  </si>
  <si>
    <t>The Politics of Space Security</t>
  </si>
  <si>
    <t>Strategic Restraint and the Pursuit of National Interests</t>
  </si>
  <si>
    <t>Stanford University Press</t>
  </si>
  <si>
    <t>Stanford Security Studies</t>
  </si>
  <si>
    <t>POLITICAL SCIENCE / International Relations / Arms Control</t>
  </si>
  <si>
    <t>TL788.4 .M65 2008eb</t>
  </si>
  <si>
    <t>Astronautics and state--Soviet Union--History.,Astronautics and state--United States--History.,Space race--History.,Space security--History.,Space warfare--Prevention.</t>
  </si>
  <si>
    <t>Moltz, James Clay.</t>
  </si>
  <si>
    <t>The Civil Law Tradition, 3rd Edition</t>
  </si>
  <si>
    <t>An Introduction to the Legal Systems of Europe and Latin America</t>
  </si>
  <si>
    <t>LAW / Civil Law</t>
  </si>
  <si>
    <t>K585 .M467 2007</t>
  </si>
  <si>
    <t>Civil law systems.</t>
  </si>
  <si>
    <t>Merryman, John Henry.-PeÌrez-Perdomo, Rogelio.</t>
  </si>
  <si>
    <t>The Managerâ€™s Guide to Simple, Strategic, Service-Oriented Business Continuity</t>
  </si>
  <si>
    <t>Rothstein Associates, Inc.</t>
  </si>
  <si>
    <t>Rothstein Publishing</t>
  </si>
  <si>
    <t>BUSINESS &amp; ECONOMICS / Insurance / Risk Assessment &amp; Management</t>
  </si>
  <si>
    <t>HF5363</t>
  </si>
  <si>
    <t>Industrial management.,Leadership.,Organizational effectiveness.</t>
  </si>
  <si>
    <t>Loyear, Rachelle.-Noakes-Fry, Kristen.</t>
  </si>
  <si>
    <t>A Rothstein Publishing Collection EBook</t>
  </si>
  <si>
    <t>The Spell of Capital</t>
  </si>
  <si>
    <t>B809.8 .S64 2017eb</t>
  </si>
  <si>
    <t>Philosophy, Marxist.,Reification.</t>
  </si>
  <si>
    <t>Gandesha, Samir-Hartle, Johan Frederik</t>
  </si>
  <si>
    <t>Open Data and the Knowledge Society</t>
  </si>
  <si>
    <t>Z667 .W477 2017eb</t>
  </si>
  <si>
    <t>Information society--Social aspects.</t>
  </si>
  <si>
    <t>Wessels ,Bridgette-Finn, Rachel L.-Wadhwa, Kush-Sveinsdottir, Thordis-Bigagli, Lorenzo-Nativi, Stefano-Noorman, Merel</t>
  </si>
  <si>
    <t>The Three Languages of Politics</t>
  </si>
  <si>
    <t>Talking Across the Political Divides</t>
  </si>
  <si>
    <t>Cato Institute</t>
  </si>
  <si>
    <t>Libertarianism.org Press</t>
  </si>
  <si>
    <t>PHILOSOPHY / Political</t>
  </si>
  <si>
    <t>JA85</t>
  </si>
  <si>
    <t>Communication in politics.</t>
  </si>
  <si>
    <t>Kling, Arnold S.</t>
  </si>
  <si>
    <t>The Crystal Mirror of Philosophical Systems</t>
  </si>
  <si>
    <t>A Tibetan Study of Asian Religious Thought</t>
  </si>
  <si>
    <t>RELIGION / Buddhism / Tibetan</t>
  </si>
  <si>
    <t>BQ7660 .B5513 2009eb</t>
  </si>
  <si>
    <t>Buddhism--China--Tibet Autonomous Region--Doctrines--Early works to 1800.,Buddhist sects--China--Tibet Autonomous Region--History.,Philosophy, Asian--Early works to 1800.</t>
  </si>
  <si>
    <t>Blo-bzang-chos-kyi-nyi-ma-Jackson, Roger R.</t>
  </si>
  <si>
    <t>The Library of Tibetan Classics</t>
  </si>
  <si>
    <t>Messines to Carrick Hill:</t>
  </si>
  <si>
    <t>Writing Home From the Great War</t>
  </si>
  <si>
    <t>D640.A22</t>
  </si>
  <si>
    <t>World War, 1914-1918--Ireland--Personal narratives.,World War, 1914-1918--Regimental histories--Ireland.</t>
  </si>
  <si>
    <t>Burke , Tom.</t>
  </si>
  <si>
    <t>Counseling in Communication Disorders</t>
  </si>
  <si>
    <t>A Wellness Perspective</t>
  </si>
  <si>
    <t>Plural Publishing Inc.</t>
  </si>
  <si>
    <t>Plural Publishing, Inc.</t>
  </si>
  <si>
    <t>MEDICAL / Evidence-Based Medicine</t>
  </si>
  <si>
    <t>RC428.8 .H6673 2014eb</t>
  </si>
  <si>
    <t>Audiology.,Communicative disorders--Patients--Counseling of.,Rehabilitation counseling.,Speech therapy.</t>
  </si>
  <si>
    <t>Holland, Audrey L.-Nelson, Ryan L.</t>
  </si>
  <si>
    <t>The Trust Economy</t>
  </si>
  <si>
    <t>Building Strong Networks and Realising Exponential Value in the Digital Age</t>
  </si>
  <si>
    <t>Marshall Cavendish International (Asia) Pte Ltd</t>
  </si>
  <si>
    <t>Marshall Cavendish International</t>
  </si>
  <si>
    <t>HF5415.32</t>
  </si>
  <si>
    <t>Consumer confidence--Social aspects.,Electronic commerce--Management.,Multiattribute models (Consumer attitudes),Trust--Social aspects.</t>
  </si>
  <si>
    <t>Diekhoner, Philipp Kristian.</t>
  </si>
  <si>
    <t>Banking on the Future of Asia and the Pacific</t>
  </si>
  <si>
    <t>50 Years of the Asian Development Bank</t>
  </si>
  <si>
    <t>Asian Development Bank</t>
  </si>
  <si>
    <t>BUSINESS &amp; ECONOMICS / Corporate &amp; Business History</t>
  </si>
  <si>
    <t>K1066</t>
  </si>
  <si>
    <t>Banking law.,Banks and banking--Asia.,Banks and banking--Pacific Area.</t>
  </si>
  <si>
    <t>McCawley, Peter-Asian Development Bank</t>
  </si>
  <si>
    <t>Ã–dÃ¶n Von HorvÃ¡th: Two Plays</t>
  </si>
  <si>
    <t>PT2617.O865 D613 2015</t>
  </si>
  <si>
    <t>HorvaÌth, OÌˆdoÌˆn von</t>
  </si>
  <si>
    <t>Black Lives, Black Words</t>
  </si>
  <si>
    <t>32 Short Plays</t>
  </si>
  <si>
    <t>PN6119.7 .B53 2017</t>
  </si>
  <si>
    <t>African diaspora in literature.,African diaspora--Drama.,Blacks--Race identity--Drama.,Blacks--Social conditions--Drama.,Race relations--21st century--Drama.,Transnationalism--Drama.</t>
  </si>
  <si>
    <t>Edmund, Reginald-Younis, Madani-Hodge-Dallaway, Simeilia</t>
  </si>
  <si>
    <t>Les veuves creÌoles</t>
  </si>
  <si>
    <t>comeÌdie</t>
  </si>
  <si>
    <t>PQ3949.A1</t>
  </si>
  <si>
    <t>Creoles--Drama--Early works to 1800.,Widows--Drama--Early works to 1800.</t>
  </si>
  <si>
    <t>Prest, Julia</t>
  </si>
  <si>
    <t>Modern Humanities Research Association critical texts</t>
  </si>
  <si>
    <t>Escape the Scaffold</t>
  </si>
  <si>
    <t>PR6108.A453 E83 2017</t>
  </si>
  <si>
    <t>English drama--21st century.</t>
  </si>
  <si>
    <t>Halder, Titus</t>
  </si>
  <si>
    <t>Oberon Modern Plays</t>
  </si>
  <si>
    <t>Daisy Miller</t>
  </si>
  <si>
    <t>PR6061.E37</t>
  </si>
  <si>
    <t>Americans--Europe--Drama.</t>
  </si>
  <si>
    <t>Keeler, Dawn</t>
  </si>
  <si>
    <t>Pina Bausch - The Biography</t>
  </si>
  <si>
    <t>The Biography</t>
  </si>
  <si>
    <t>DRAMA / European / German</t>
  </si>
  <si>
    <t>GV1785.B349 M48513 2017eb</t>
  </si>
  <si>
    <t>Choreographers--Germany--Biography.</t>
  </si>
  <si>
    <t>Meyer, Marion-Black, Penny</t>
  </si>
  <si>
    <t>Scuffer</t>
  </si>
  <si>
    <t>PR6103.A85</t>
  </si>
  <si>
    <t>Gambling--Drama.,Usury--Drama.</t>
  </si>
  <si>
    <t>Catley, Mark</t>
  </si>
  <si>
    <t>Europe on Stage; Translation and Theatre</t>
  </si>
  <si>
    <t>Translation and Theatre</t>
  </si>
  <si>
    <t>PN1811</t>
  </si>
  <si>
    <t>European drama--History and criticism.,European drama--Translating.</t>
  </si>
  <si>
    <t>Anderman, Gunilla</t>
  </si>
  <si>
    <t>Familyman</t>
  </si>
  <si>
    <t>PR6102.E14</t>
  </si>
  <si>
    <t>Domestic drama, English.,Parenting--Drama.</t>
  </si>
  <si>
    <t>Beadle-Blair, Rikki</t>
  </si>
  <si>
    <t>Before the Party</t>
  </si>
  <si>
    <t>PR6001.C45</t>
  </si>
  <si>
    <t>Middle class families--Drama.,Murderers--Great Britain--Drama.</t>
  </si>
  <si>
    <t>Ackland, Rodney</t>
  </si>
  <si>
    <t>Absolute Hell</t>
  </si>
  <si>
    <t>English drama--20th century--Texts.</t>
  </si>
  <si>
    <t>(I Am) Nobody's Lunch / Gone Missing</t>
  </si>
  <si>
    <t>PS3603.O836</t>
  </si>
  <si>
    <t>Musicals--Librettos.</t>
  </si>
  <si>
    <t>Cosson, Steven</t>
  </si>
  <si>
    <t>Echo's End</t>
  </si>
  <si>
    <t>PR6114.O7725 E24 2017eb</t>
  </si>
  <si>
    <t>World War, 1914-1918--Drama.</t>
  </si>
  <si>
    <t>Norris, Barney.</t>
  </si>
  <si>
    <t>Killology</t>
  </si>
  <si>
    <t>PR6115.W46 K55 2017eb</t>
  </si>
  <si>
    <t>English drama--21st century.,Video games--Drama.,Violence--Drama.</t>
  </si>
  <si>
    <t>Owen, Gary.</t>
  </si>
  <si>
    <t>Big Guns</t>
  </si>
  <si>
    <t>PR6119.E434 B54 2017eb</t>
  </si>
  <si>
    <t>English drama--21st century.,Violence--Drama.</t>
  </si>
  <si>
    <t>Segal, Nina.</t>
  </si>
  <si>
    <t>Petrol Station</t>
  </si>
  <si>
    <t>DRAMA / Middle Eastern</t>
  </si>
  <si>
    <t>PR6101.L4 P48 2017eb</t>
  </si>
  <si>
    <t>Service stations--Drama.</t>
  </si>
  <si>
    <t>Al-Bassam, Sulayman</t>
  </si>
  <si>
    <t>Filthy Business</t>
  </si>
  <si>
    <t>PR6103.R352 F55 2017eb</t>
  </si>
  <si>
    <t>Craig, Ryan.</t>
  </si>
  <si>
    <t>The Miser</t>
  </si>
  <si>
    <t>PQ1827</t>
  </si>
  <si>
    <t>Misers--Drama.</t>
  </si>
  <si>
    <t>MolieÌ€re-Foley, Sean-Porter, Phil</t>
  </si>
  <si>
    <t>Oberon Classics</t>
  </si>
  <si>
    <t>The Oberon Anthology of Contemporary French Plays</t>
  </si>
  <si>
    <t>PQ1240.E5 O24 2017</t>
  </si>
  <si>
    <t>French drama--21st century--Translations.</t>
  </si>
  <si>
    <t>Campbell, Chris-Vos, ReÌmi de.-Mougel, Magali.-Hamelin, Lancelot-Picault, Adeline.</t>
  </si>
  <si>
    <t>EdexcelÂ AS/AÂ LevelÂ DramaÂ StudyÂ Guide</t>
  </si>
  <si>
    <t>EDUCATION / Teaching Methods &amp; Materials / Arts &amp; Humanities</t>
  </si>
  <si>
    <t>PN1701</t>
  </si>
  <si>
    <t>Acting--Examinations--Study guides.,Advanced supplementary examinations--Study guides.,A-level examinations--Study guides.,Theater--Examinations--Study guides.</t>
  </si>
  <si>
    <t>Elsden, Rhianna-Pope, Alicia-Porter, David-Rix, Lucy Ellen</t>
  </si>
  <si>
    <t>EdexcelÂ GCSEÂ DramaÂ StudyÂ Guide</t>
  </si>
  <si>
    <t>PN2075</t>
  </si>
  <si>
    <t>Acting--Examinations--Study guides.,General Certificate of Secondary Education--Study guides.,Theater--Examinations--Study guides.</t>
  </si>
  <si>
    <t>Edexcel GCSE Music Revision Guide</t>
  </si>
  <si>
    <t>EDUCATION / Study Skills</t>
  </si>
  <si>
    <t>General Certificate of Secondary Education--Study guides.,Music--Examinations--Study guides.</t>
  </si>
  <si>
    <t>Terry, Paul</t>
  </si>
  <si>
    <t>Edexcel GCSE Music</t>
  </si>
  <si>
    <t>Edexcel GCSE Music Study Guide</t>
  </si>
  <si>
    <t>MUSIC / Instruction &amp; Study / General</t>
  </si>
  <si>
    <t>Terry, Paul-Berryman, Steven</t>
  </si>
  <si>
    <t>OCR GCSE Music Study Guide</t>
  </si>
  <si>
    <t>Music--Examinations, questions, etc.--Study guides.,Music--Great Britain--Instruction and study (Secondary)</t>
  </si>
  <si>
    <t>Berryman, Steven-Doan, Hanh-Guinane, David</t>
  </si>
  <si>
    <t>AQA GCSE Music Study Guide</t>
  </si>
  <si>
    <t>Music--Examinations, questions, etc.--Study guides.,Music--Instruction and study.</t>
  </si>
  <si>
    <t>Coxon, Andrew S.-Terry, Paul</t>
  </si>
  <si>
    <t>Creating Independent Student Learners, 4-6</t>
  </si>
  <si>
    <t>A Practical Guide to Assessment for Learning</t>
  </si>
  <si>
    <t>Firebrand Technologies</t>
  </si>
  <si>
    <t>Portage &amp; Main Press</t>
  </si>
  <si>
    <t>EDUCATION / Professional Development</t>
  </si>
  <si>
    <t>LB3060.22 .C553 2006</t>
  </si>
  <si>
    <t>Learning.,School children--Rating of.</t>
  </si>
  <si>
    <t>Clarke, Pauline-Owens, Thompson-Sutton, Ruth.</t>
  </si>
  <si>
    <t>Creating Independent Student Learners</t>
  </si>
  <si>
    <t>Creating Independent Student Learners, School Leaders</t>
  </si>
  <si>
    <t>LB3051</t>
  </si>
  <si>
    <t>Elementary school teaching.,Learning--Evaluation.,Middle school students--Rating of.,Middle school teaching.,School children--Rating of.</t>
  </si>
  <si>
    <t>Clarke, Pauline.-Owens, Thompson-Sutton, Ruth</t>
  </si>
  <si>
    <t>Readers Theatre</t>
  </si>
  <si>
    <t>A Secondary Approach</t>
  </si>
  <si>
    <t>PN2081.R4 D59 2010</t>
  </si>
  <si>
    <t>Drama in education.,Readers' theater--Study and teaching (Middle school),Readers' theater--Study and teaching (Secondary)</t>
  </si>
  <si>
    <t>Dixon, Neill</t>
  </si>
  <si>
    <t>The Dutch National Research Agenda in Perspective</t>
  </si>
  <si>
    <t>EDUCATION / General</t>
  </si>
  <si>
    <t>Q127.N2 D88 2017eb</t>
  </si>
  <si>
    <t>Research--Government policy--Netherlands.,Research--Netherlands.</t>
  </si>
  <si>
    <t>Graaf, Beatrice de-Rinnooy Kan, A. H. G.-Molenaar, Henk</t>
  </si>
  <si>
    <t>Shipbuilding and Ship Repair Workers Around the World</t>
  </si>
  <si>
    <t>HD8039.S5 S45 2017eb</t>
  </si>
  <si>
    <t>Shipbuilding industry--Employees--History--20th century.,Shipbuilding industry--Employees--History--21st century.,Shipbuilding industry--History--20th century.,Shipbuilding industry--History--21st century.,Ships--Maintenance and repair.</t>
  </si>
  <si>
    <t>Varela, Raquel-Murphy, Hugh-Linden, Marcel van der</t>
  </si>
  <si>
    <t>Work Around the Globe: Historical Comparisons</t>
  </si>
  <si>
    <t>Spiritual Adventures</t>
  </si>
  <si>
    <t>LITERARY CRITICISM / European / English, Irish, Scottish, Welsh</t>
  </si>
  <si>
    <t>PR5525</t>
  </si>
  <si>
    <t>Symons, Arthur-Freeman, Nicholas.</t>
  </si>
  <si>
    <t>Critical Texts</t>
  </si>
  <si>
    <t>Mahabharata Book Six (Volume 2)</t>
  </si>
  <si>
    <t>Bhisma</t>
  </si>
  <si>
    <t>New York University Press</t>
  </si>
  <si>
    <t>NYU Press</t>
  </si>
  <si>
    <t>LITERARY COLLECTIONS / Ancient &amp; Classical</t>
  </si>
  <si>
    <t>BL1138.242.B55 E5 2009eb</t>
  </si>
  <si>
    <t>Cherniak, Alex</t>
  </si>
  <si>
    <t>MahaÌ„bhaÌ„rata</t>
  </si>
  <si>
    <t>Mahabharata Book Twelve (Volume 3)</t>
  </si>
  <si>
    <t>Peace Part Two: The Book of Liberation</t>
  </si>
  <si>
    <t>BL1138.242.S26 E5 2009eb</t>
  </si>
  <si>
    <t>Epic poetry, Sanskrit--Translations into English.</t>
  </si>
  <si>
    <t>Wynne, Alexander</t>
  </si>
  <si>
    <t>Garland of the Buddhaâ€™s Past Lives (Volume 1)</t>
  </si>
  <si>
    <t>BQ1462.E5 M47 2009eb</t>
  </si>
  <si>
    <t>Buddhist stories, Sanskrit--Translations into English.</t>
  </si>
  <si>
    <t>AÌ„ryasÌuÌ„ra-Meiland, Justin</t>
  </si>
  <si>
    <t>Garland of the Buddha's Past Lives</t>
  </si>
  <si>
    <t>The Lady of the Jewel Necklace &amp; The Lady Who Shows Her Love</t>
  </si>
  <si>
    <t>PK3794.H3 R313 2006</t>
  </si>
  <si>
    <t>Sanskrit drama--Translations into English.</t>
  </si>
  <si>
    <t>HarsÌ£avardhana-Doniger, Wendy.</t>
  </si>
  <si>
    <t>The Clay Sanskrit Library</t>
  </si>
  <si>
    <t>Manual of Cardiovascular Medicine</t>
  </si>
  <si>
    <t>MEDICAL / Cardiology</t>
  </si>
  <si>
    <t>RC669.15</t>
  </si>
  <si>
    <t>Cardiology--Handbooks, manuals, etc.,Heart--Diseases--Handbooks, manuals, etc.</t>
  </si>
  <si>
    <t>Griffin, Brian P.-Ovid Technologies, Inc.-Callahan, Thomas D.-Menon, Venu.-Wu, Willis M.-Cauthen, Clay A.-Dunn, Justin M.</t>
  </si>
  <si>
    <t>Grounded</t>
  </si>
  <si>
    <t>PS3602.R3665</t>
  </si>
  <si>
    <t>American drama--21st century.,Drone aircraft--Drama.,Fighter pilots--Drama.</t>
  </si>
  <si>
    <t>Brant, George</t>
  </si>
  <si>
    <t>On Insomnia and Midnight</t>
  </si>
  <si>
    <t>DRAMA / Caribbean &amp; Latin American</t>
  </si>
  <si>
    <t>PQ7298.413.H53</t>
  </si>
  <si>
    <t>Insomnia--Drama.,Spanish drama--20th century.</t>
  </si>
  <si>
    <t>Edgar, ChiÌas-Johnston, David</t>
  </si>
  <si>
    <t>TANK</t>
  </si>
  <si>
    <t>PR6103.B74</t>
  </si>
  <si>
    <t>Drama.</t>
  </si>
  <si>
    <t>Breach Theater</t>
  </si>
  <si>
    <t>Two Man Show</t>
  </si>
  <si>
    <t>PR6107.R4465</t>
  </si>
  <si>
    <t>Men--Drama.</t>
  </si>
  <si>
    <t>RashDash.</t>
  </si>
  <si>
    <t>Chigger Foot Boys</t>
  </si>
  <si>
    <t>PR9265.9.C85</t>
  </si>
  <si>
    <t>Cumper, Patricia.</t>
  </si>
  <si>
    <t>Heads Up</t>
  </si>
  <si>
    <t>PR6108.U62 H43 2017</t>
  </si>
  <si>
    <t>Hurley, Kieran.</t>
  </si>
  <si>
    <t>Oberon Modern Play</t>
  </si>
  <si>
    <t>Beau Brummel</t>
  </si>
  <si>
    <t>An Elegant Madness</t>
  </si>
  <si>
    <t>PR6058.U814</t>
  </si>
  <si>
    <t>Courts and courtiers--Drama.,Dandies--Drama.</t>
  </si>
  <si>
    <t>Hutchinson, Ron</t>
  </si>
  <si>
    <t>Desire and Technology in Science Fiction and Beyond</t>
  </si>
  <si>
    <t>TrueHeart Academic Press</t>
  </si>
  <si>
    <t>PN3433.6 .S55 2015eb</t>
  </si>
  <si>
    <t>Desire in literature.,Science fiction--History and criticism.,Technology in literature.</t>
  </si>
  <si>
    <t>Shih, Terence H.W.</t>
  </si>
  <si>
    <t>Bridging Disciplines Series</t>
  </si>
  <si>
    <t>Volcanoes of Europe</t>
  </si>
  <si>
    <t>SCIENCE / Earth Sciences / Geography</t>
  </si>
  <si>
    <t>QE526 .J47 2017eb</t>
  </si>
  <si>
    <t>Volcanoes--Europe.</t>
  </si>
  <si>
    <t>Jerram, Dougal-Scarth, Alwyn-Tanguy, Jean-Claude</t>
  </si>
  <si>
    <t>A Land of Milk and Honey?</t>
  </si>
  <si>
    <t>Making Sense of Aotearoa New Zealand</t>
  </si>
  <si>
    <t>HN930.5</t>
  </si>
  <si>
    <t>Social change--New Zealand.</t>
  </si>
  <si>
    <t>Bell, Avril-Auckland University Press-Elizabeth, Vivienne-McIntosh, Tracey-Wynyard, Matt</t>
  </si>
  <si>
    <t>Your Guide to Workplace Violence</t>
  </si>
  <si>
    <t>When Emotions Turn Destructive</t>
  </si>
  <si>
    <t>NDY Publishing</t>
  </si>
  <si>
    <t>Vali Hawkins Mitchell, Ph.D, LMHC, REAT, CEAP-Kristen Noakes-Fry, ABCI</t>
  </si>
  <si>
    <t>An NDY Publishing Collection EBook</t>
  </si>
  <si>
    <t>Management for Psychiatrists</t>
  </si>
  <si>
    <t>RCPsych Publications</t>
  </si>
  <si>
    <t>MEDICAL / Psychiatry / General</t>
  </si>
  <si>
    <t>RA790.95 .M36 2016</t>
  </si>
  <si>
    <t>Mental health services--Great Britain--Administration.</t>
  </si>
  <si>
    <t>Bhugra, Dinesh.-Bell, Stuart.-Burns, Alistair.</t>
  </si>
  <si>
    <t>Neuroscience of Clinical Psychiatry</t>
  </si>
  <si>
    <t>The Pathophysiology of Behavior and Mental Illness</t>
  </si>
  <si>
    <t>RC483</t>
  </si>
  <si>
    <t>Mental illness--Pathophysiology.,Psychiatry.</t>
  </si>
  <si>
    <t>Higgins, Edmund S.-George, Mark S.</t>
  </si>
  <si>
    <t>AWHONN High-Risk &amp; Critical Care Obstetrics</t>
  </si>
  <si>
    <t>MEDICAL / Nursing / Critical &amp; Intensive Care</t>
  </si>
  <si>
    <t>RG951 .H537 2013</t>
  </si>
  <si>
    <t>Labor (Obstetrics)--Complications--Nursing.,Maternity nursing.,Pregnancy--Complications--Nursing.</t>
  </si>
  <si>
    <t>Troiano, Nan H.-Association of Women's Health, Obstetric, and Neonatal Nurses.-Harvey, Carol J.-Chez, Bonnie Flood.</t>
  </si>
  <si>
    <t>The Bethesda Handbook of Clinical Hematology</t>
  </si>
  <si>
    <t>MEDICAL / Hematology</t>
  </si>
  <si>
    <t>RC633</t>
  </si>
  <si>
    <t>Blood--Diseases--Handbooks, manuals, etc.,Hematology--Handbooks, manuals, etc.</t>
  </si>
  <si>
    <t>Rodgers, Griffin P.-Young, Neal S.</t>
  </si>
  <si>
    <t>Mary Stuart</t>
  </si>
  <si>
    <t>DRAMA / General</t>
  </si>
  <si>
    <t>PR6109.C54 M37 2016</t>
  </si>
  <si>
    <t>Icke, Robert.-Schiller, Friedrich.</t>
  </si>
  <si>
    <t>Thebes Land</t>
  </si>
  <si>
    <t>PQ8520.412.L36 T4313 2016</t>
  </si>
  <si>
    <t>Murder--Drama.</t>
  </si>
  <si>
    <t>Blanco, Sergio.-Goldman, Daniel.</t>
  </si>
  <si>
    <t>Fanfiction</t>
  </si>
  <si>
    <t>Una red social en el espacio de la ficciÃ³n</t>
  </si>
  <si>
    <t>Editorial UPC</t>
  </si>
  <si>
    <t>HM742</t>
  </si>
  <si>
    <t>Online social networks--Research.,Popular culture--Social aspects.</t>
  </si>
  <si>
    <t>De Lama OdriÌa, Mariana.</t>
  </si>
  <si>
    <t>Octopus</t>
  </si>
  <si>
    <t>Biblioasis</t>
  </si>
  <si>
    <t>POETRY / Canadian</t>
  </si>
  <si>
    <t>QL430.3.O2 .W376 2016eb</t>
  </si>
  <si>
    <t>Poetry.</t>
  </si>
  <si>
    <t>Warner, Patrick.</t>
  </si>
  <si>
    <t>Root Shock</t>
  </si>
  <si>
    <t>How Tearing up City Neighborhoods Hurts America, and What We Can Do About It</t>
  </si>
  <si>
    <t>Perseus Books, LLC</t>
  </si>
  <si>
    <t>New Village Press</t>
  </si>
  <si>
    <t>POLITICAL SCIENCE / Public Policy / City Planning &amp; Urban Development</t>
  </si>
  <si>
    <t>HT123 .F85 2016</t>
  </si>
  <si>
    <t>African Americans--Social conditions.,Identity (Psychology),Neighborhoods--Psychological aspects.,Relocation (Housing)--United States--Psychological aspects.,Urban policy--United States--History--20th century.</t>
  </si>
  <si>
    <t>Fullilove, Mindy Thompson</t>
  </si>
  <si>
    <t>Disco Demolition</t>
  </si>
  <si>
    <t>The Night Disco Died</t>
  </si>
  <si>
    <t>Curbside Splendor Publishing</t>
  </si>
  <si>
    <t>SPORTS &amp; RECREATION / Baseball / History</t>
  </si>
  <si>
    <t>ML3526 .D35 2016eb</t>
  </si>
  <si>
    <t>Disco music--History and criticism.,Popular culture--History--20th century.,Sports--Illinois--Chicago--Marketing.</t>
  </si>
  <si>
    <t>Dahl, Steve-Hoekstra, Dave-Natkin, Paul-Odenkirk, Bob</t>
  </si>
  <si>
    <t>Belarus Free Theatre: Staging a Revolution</t>
  </si>
  <si>
    <t>New Plays From Eastern Europe</t>
  </si>
  <si>
    <t>PN849.E92 B45 2016eb</t>
  </si>
  <si>
    <t>East European drama--21st century--Translations into English.,Theater--Belarus.</t>
  </si>
  <si>
    <t>Belarus Free Theatre</t>
  </si>
  <si>
    <t>After October</t>
  </si>
  <si>
    <t>PR6101.A35 A88 2016eb</t>
  </si>
  <si>
    <t>Dramatists--Drama.</t>
  </si>
  <si>
    <t>Removal Men</t>
  </si>
  <si>
    <t>PR6108.A726 R46 2016</t>
  </si>
  <si>
    <t>Deportation--Drama.,Immigration enforcement--Drama.</t>
  </si>
  <si>
    <t>Harding, M. J.-Miller, Jay</t>
  </si>
  <si>
    <t>It Is Easy to Be Dead</t>
  </si>
  <si>
    <t>PR6113.C5865 I85 2016</t>
  </si>
  <si>
    <t>War poetry--Drama.</t>
  </si>
  <si>
    <t>McPherson, Neil</t>
  </si>
  <si>
    <t>Drones, Baby, Drones</t>
  </si>
  <si>
    <t>Drone aircraft--Drama.</t>
  </si>
  <si>
    <t>Hutchinson, Ron-Lamb, Christina.-Greig, David.</t>
  </si>
  <si>
    <t>The Island Nation</t>
  </si>
  <si>
    <t>PR6102.A329 I85 2016</t>
  </si>
  <si>
    <t>Bacon, Christine.</t>
  </si>
  <si>
    <t>A Pacifist's Guide to the War on Cancer</t>
  </si>
  <si>
    <t>PR6111.I5355 P33 2016</t>
  </si>
  <si>
    <t>Cancer--Drama.</t>
  </si>
  <si>
    <t>Kimmings, Bryony.-Lobel, Brian.</t>
  </si>
  <si>
    <t>The HIV Monologues</t>
  </si>
  <si>
    <t>QR201.A37 .C374 2016</t>
  </si>
  <si>
    <t>HIV infections--Drama.</t>
  </si>
  <si>
    <t>Cash, Patrick.</t>
  </si>
  <si>
    <t>Running on the Cracks</t>
  </si>
  <si>
    <t>PZ7.D71499</t>
  </si>
  <si>
    <t>Orphans--Fiction.,Orphans--Juvenile fiction.,Racially mixed people--Fiction.,Racially mixed people--Juvenile fiction.,Runaway teenagers--Juvenile fiction.,Sexually abused teenagers--Juvenile fiction.</t>
  </si>
  <si>
    <t>Donaldson, Julia.-Arnold, Andy.</t>
  </si>
  <si>
    <t>Bath Short Story Award Anthology 2016</t>
  </si>
  <si>
    <t>Brown Dog</t>
  </si>
  <si>
    <t>FICTION / Short Stories (single author)</t>
  </si>
  <si>
    <t>PR1307.2 .B38 2016eb</t>
  </si>
  <si>
    <t>Short stories, English.</t>
  </si>
  <si>
    <t>Bath Short Story Award</t>
  </si>
  <si>
    <t>Skin A Cat</t>
  </si>
  <si>
    <t>PR6112.Y56 S55 2016</t>
  </si>
  <si>
    <t>Sex (Psychology)--Drama.,Women--Sexual behavior--Drama.</t>
  </si>
  <si>
    <t>Lynn, Isley.</t>
  </si>
  <si>
    <t>One Night in Miami</t>
  </si>
  <si>
    <t>PN4874.P65 O54 2016</t>
  </si>
  <si>
    <t>African American celebrities--Drama.,African Americans--Drama.</t>
  </si>
  <si>
    <t>Powers, Kemp.</t>
  </si>
  <si>
    <t>Ensenada Gris</t>
  </si>
  <si>
    <t>Editorial Mesa Redonda</t>
  </si>
  <si>
    <t>PQ6705.E35</t>
  </si>
  <si>
    <t>Peruvian poetry--21st century.</t>
  </si>
  <si>
    <t>MejiÌa Chiang, CeÌsar</t>
  </si>
  <si>
    <t>Ediciones 141 PoesiÌa</t>
  </si>
  <si>
    <t>El arte de la palabra justa</t>
  </si>
  <si>
    <t>Labor periodÃ­stica de CÃ©sar Vallejo y Jorge Basadre</t>
  </si>
  <si>
    <t>LANGUAGE ARTS &amp; DISCIPLINES / Literacy</t>
  </si>
  <si>
    <t>PQ8497.V35 Z7168 2013</t>
  </si>
  <si>
    <t>Journalists--Peru--Biography.</t>
  </si>
  <si>
    <t>Ensayo</t>
  </si>
  <si>
    <t>Hell at the Gates:</t>
  </si>
  <si>
    <t>The Inside Story of Ireland's Financial Downfall</t>
  </si>
  <si>
    <t>POLITICAL SCIENCE / American Government / General</t>
  </si>
  <si>
    <t>HC260.5 .L44 2016</t>
  </si>
  <si>
    <t>Bailouts (Government policy)--Ireland.,Debts, Public--Ireland.,Financial crises--Ireland.,Global Financial Crisis, 2008-2009.</t>
  </si>
  <si>
    <t>Lee, John-McConnell, Daniel</t>
  </si>
  <si>
    <t>The Emperor</t>
  </si>
  <si>
    <t>PR6070.E34 E67 2016</t>
  </si>
  <si>
    <t>Emperors--Ethiopia--Drama.</t>
  </si>
  <si>
    <t>Teevan, Colin-KapusÌcinÌski, Ryszard.</t>
  </si>
  <si>
    <t>Wrecking Ball</t>
  </si>
  <si>
    <t>PR6101.C29 W83 2016</t>
  </si>
  <si>
    <t>Consent (Law)--Drama.,English drama--21st century.,Fame--Drama.,Photographers--Drama.</t>
  </si>
  <si>
    <t>Action Hero.</t>
  </si>
  <si>
    <t>Paradise of the Assassins</t>
  </si>
  <si>
    <t>PR6053.L29 P37 2016</t>
  </si>
  <si>
    <t>Assassins (Ismailites)--Drama.,Man-woman relationships--Drama.</t>
  </si>
  <si>
    <t>Clark, Anthony.-Sharar, Abdul Halim.</t>
  </si>
  <si>
    <t>Imogen</t>
  </si>
  <si>
    <t>William ShakespeareÂ’s Cymbeline Renamed and Reclaimed</t>
  </si>
  <si>
    <t>PR6104.U575 I46 2016</t>
  </si>
  <si>
    <t>English drama--21st century.,Imogen (Fictitious character : Shakespeare)--Drama.</t>
  </si>
  <si>
    <t>Dunster, Matthew.</t>
  </si>
  <si>
    <t>Villette</t>
  </si>
  <si>
    <t>PR6113.A7762 V55 2016</t>
  </si>
  <si>
    <t>British--Belgium--Fiction.,Women teachers--Fiction.</t>
  </si>
  <si>
    <t>Marshall-Griffiths, Linda.-BronteÌˆ, Charlotte.</t>
  </si>
  <si>
    <t>Breaking the Ice</t>
  </si>
  <si>
    <t>PR6112.Y58 B74 2016</t>
  </si>
  <si>
    <t>Diplomacy--Drama.</t>
  </si>
  <si>
    <t>Lynn, Kieran.</t>
  </si>
  <si>
    <t>Abi Morgan Two Plays: Splendour/Tender</t>
  </si>
  <si>
    <t>PR6003.O683</t>
  </si>
  <si>
    <t>English drama.</t>
  </si>
  <si>
    <t>Morgan, Abi-Morgan, Abi.</t>
  </si>
  <si>
    <t>RamÃ³n Griffero: Your Desires in Fragments and Other Plays</t>
  </si>
  <si>
    <t>Diez Obras De Fin De Sieglo</t>
  </si>
  <si>
    <t>PQ8098.17.R54 A2 2016</t>
  </si>
  <si>
    <t>Political plays, Chilean.</t>
  </si>
  <si>
    <t>Griffero S., RamoÌn-VerseÌnyi, Adam</t>
  </si>
  <si>
    <t>Howard Barker: Plays Nine</t>
  </si>
  <si>
    <t>PR6052.A6485 A6 2016</t>
  </si>
  <si>
    <t>Criminals--Drama.,Exiles--Drama.</t>
  </si>
  <si>
    <t>Barker, Howard</t>
  </si>
  <si>
    <t>Fresh Cuts: Plays From Dublin Fringe Festival 2015 &amp; 2016</t>
  </si>
  <si>
    <t>A Selection of Plays From Dublin Fringe Festival 2015 &amp; 2016</t>
  </si>
  <si>
    <t>PR1272.2 .F74 2016</t>
  </si>
  <si>
    <t>English drama--21st century.,English drama--Irish authors.</t>
  </si>
  <si>
    <t>McGowan, Ruth-Nelson, Kris</t>
  </si>
  <si>
    <t>A State in Denial:</t>
  </si>
  <si>
    <t>British Collaboration with Loyalist Paramilitaries</t>
  </si>
  <si>
    <t>DA990.U46 U77 2016</t>
  </si>
  <si>
    <t>Paramilitary forces--Northern Ireland--History--20th century.</t>
  </si>
  <si>
    <t>Urwin, Margaret</t>
  </si>
  <si>
    <t>Alfred De Musset: Seven Plays</t>
  </si>
  <si>
    <t>PQ2369</t>
  </si>
  <si>
    <t>Musset, Alfred de.-Meyer, Peter.-Barash, Meyer.</t>
  </si>
  <si>
    <t>Silent Cry</t>
  </si>
  <si>
    <t>PR6125.O95 S55 2004x</t>
  </si>
  <si>
    <t>Police--Complaints against--Drama.,Prisoners--Death--Drama.,Wrongful death--Drama.</t>
  </si>
  <si>
    <t>Younis, Madani.-Asian Theatre School.-Red Ladder (Theatre company)</t>
  </si>
  <si>
    <t>Children's Children</t>
  </si>
  <si>
    <t>PR6104.U575</t>
  </si>
  <si>
    <t>Best friends--England, Northern--Drama.</t>
  </si>
  <si>
    <t>Dunster, Matthew</t>
  </si>
  <si>
    <t>The Flu Season &amp; Imtermission</t>
  </si>
  <si>
    <t>PS3605</t>
  </si>
  <si>
    <t>Eno, Will</t>
  </si>
  <si>
    <t>Wittenberg</t>
  </si>
  <si>
    <t>PS3604.A935</t>
  </si>
  <si>
    <t>Faith and reason--Drama.,Faust (Legendary character)--Drama.</t>
  </si>
  <si>
    <t>Davalos, David</t>
  </si>
  <si>
    <t>The Notorious Mrs Ebbsmith</t>
  </si>
  <si>
    <t>PR5182.N6 2014</t>
  </si>
  <si>
    <t>Man-woman relationships--Drama.,Marriage--Drama.</t>
  </si>
  <si>
    <t>Pinero, Arthur Wing.</t>
  </si>
  <si>
    <t>Way to Heaven</t>
  </si>
  <si>
    <t>DRAMA / European / Spanish &amp; Portuguese</t>
  </si>
  <si>
    <t>PQ6663.A985</t>
  </si>
  <si>
    <t>Mayorga, Juan.-Johnston, David</t>
  </si>
  <si>
    <t>Crap Dad</t>
  </si>
  <si>
    <t>Fatherhood--Drama.</t>
  </si>
  <si>
    <t>Beyond Hillsborough</t>
  </si>
  <si>
    <t>PR6108.A496</t>
  </si>
  <si>
    <t>Hillsborough Stadium Disaster, Sheffield, England,--Drama.</t>
  </si>
  <si>
    <t>Halliday, Jo-Dowie, Layla</t>
  </si>
  <si>
    <t>Where There's a Will</t>
  </si>
  <si>
    <t>PQ2611.E86 S913 2003</t>
  </si>
  <si>
    <t>Man-woman relationships--Drama.</t>
  </si>
  <si>
    <t>Feydeau, Georges-Frei, Nicki.</t>
  </si>
  <si>
    <t>Absolute Classics</t>
  </si>
  <si>
    <t>In Extremis</t>
  </si>
  <si>
    <t>PR6052.A7543</t>
  </si>
  <si>
    <t>Authors, Irish--19th century--Drama.,Palmists--Drama.,Poets, English--19th century--Drama.</t>
  </si>
  <si>
    <t>Bartlett, Neil Neil</t>
  </si>
  <si>
    <t>Jonathan Gems: Three Plays</t>
  </si>
  <si>
    <t>PR6057.E514</t>
  </si>
  <si>
    <t>Gems, Jonathan</t>
  </si>
  <si>
    <t>Bathsheba Doran: The Marriage Plays</t>
  </si>
  <si>
    <t>PS3604.O727 A6 2016</t>
  </si>
  <si>
    <t>Marriage--Drama.,Married people--Drama.</t>
  </si>
  <si>
    <t>Doran, Bathsheba-Doran, Bathsheba.</t>
  </si>
  <si>
    <t>Ten Red-Hot Tips to Promote Your Business</t>
  </si>
  <si>
    <t>BUSINESS &amp; ECONOMICS / Business Communication / General</t>
  </si>
  <si>
    <t>HF5823</t>
  </si>
  <si>
    <t>Advertising.,Public relations.,Sales promotion.</t>
  </si>
  <si>
    <t>Gunning, Ellen.</t>
  </si>
  <si>
    <t>The Southwark Mysteries</t>
  </si>
  <si>
    <t>PR6053.O4985</t>
  </si>
  <si>
    <t>Constable, John.</t>
  </si>
  <si>
    <t>5 Guys Chillin'</t>
  </si>
  <si>
    <t>PR6104.A84365 A13 2016eb</t>
  </si>
  <si>
    <t>Drug abuse--England--Drama.,Homosexuality--England--Drama.,Sex--England--Drama.</t>
  </si>
  <si>
    <t>Darney, Peter</t>
  </si>
  <si>
    <t>The 56 &amp; E15</t>
  </si>
  <si>
    <t>PR6112.U54 A6 2016</t>
  </si>
  <si>
    <t>Gentrification--Great Britain--Drama.,Soccer--Great Britain--Drama.,Social problems--Great Britain--Drama.</t>
  </si>
  <si>
    <t>LUNG, LUNG.</t>
  </si>
  <si>
    <t>A Clinician's Brief Guide to the Mental Health Act (4th Edn)</t>
  </si>
  <si>
    <t>KD3412</t>
  </si>
  <si>
    <t>Mental health laws--Great Britain.</t>
  </si>
  <si>
    <t>Zigmond, Tony.</t>
  </si>
  <si>
    <t>The Roundabout</t>
  </si>
  <si>
    <t>PR6031.R6 R6 2016</t>
  </si>
  <si>
    <t>Aristocracy (Social class)--Family relationships--England--Drama.,Dysfunctional families--Drama.</t>
  </si>
  <si>
    <t>Priestley, J. B.</t>
  </si>
  <si>
    <t>946: The Amazing Story of Adolphus Tips</t>
  </si>
  <si>
    <t>PR6063.O746 A12 2016</t>
  </si>
  <si>
    <t>World War, 1939-1945--England--Drama.</t>
  </si>
  <si>
    <t>Morpurgo, Michael-Rice, Emma-Morpurgo, Michael.</t>
  </si>
  <si>
    <t>Blow Off</t>
  </si>
  <si>
    <t>PR6120.A79 B56 2016eb</t>
  </si>
  <si>
    <t>Feminists--Drama.,Radicals--Drama.</t>
  </si>
  <si>
    <t>Taudevin, A. J.</t>
  </si>
  <si>
    <t>Counting Stars</t>
  </si>
  <si>
    <t>PR6107.U68 C68 2016eb</t>
  </si>
  <si>
    <t>Nigerians--England--London--Drama.,Nightclubs--England--London--Drama.</t>
  </si>
  <si>
    <t>Gupta, Atiha Sen.</t>
  </si>
  <si>
    <t>Coolies of Capitalism</t>
  </si>
  <si>
    <t>Assam Tea and the Making of Coolie Labour</t>
  </si>
  <si>
    <t>De Gruyter</t>
  </si>
  <si>
    <t>De Gruyter Oldenbourg</t>
  </si>
  <si>
    <t>HISTORY / Asia / India &amp; South Asia</t>
  </si>
  <si>
    <t>HD8686 .V37 2017eb</t>
  </si>
  <si>
    <t>Labor--India--History.,Tea trade--India--Assam--History.,Working class--India--History.</t>
  </si>
  <si>
    <t>Varma, Nitin</t>
  </si>
  <si>
    <t>Work in Global and Historical Perspective</t>
  </si>
  <si>
    <t>Necrotech</t>
  </si>
  <si>
    <t>Angry Robot</t>
  </si>
  <si>
    <t>FICTION / Science Fiction / Action &amp; Adventure</t>
  </si>
  <si>
    <t>PS3601.L493 A449 2016</t>
  </si>
  <si>
    <t>Conspiracies--Fiction.,Genetic engineering--Fiction.</t>
  </si>
  <si>
    <t>Alexander, K. C.-Recorded Books, Inc.</t>
  </si>
  <si>
    <t>How to Self Publish Inexpensive Books and Ebooks</t>
  </si>
  <si>
    <t>Bookmark Publishers</t>
  </si>
  <si>
    <t>BUSINESS &amp; ECONOMICS / Industries / Media &amp; Communications</t>
  </si>
  <si>
    <t>Z285.5</t>
  </si>
  <si>
    <t>Electronic publishing.,Self-publishing.</t>
  </si>
  <si>
    <t>Allan, William</t>
  </si>
  <si>
    <t>The Men Will Talk to Me: Clare Interviews</t>
  </si>
  <si>
    <t>Clare Interviews by Ernie O'Malley</t>
  </si>
  <si>
    <t>DA959 .O635 2016</t>
  </si>
  <si>
    <t>Irish Republican Army--History--20th century.</t>
  </si>
  <si>
    <t>O'Malley, Ernie.</t>
  </si>
  <si>
    <t>Public Affairs</t>
  </si>
  <si>
    <t>A Global Perspective</t>
  </si>
  <si>
    <t>Urbane Publications</t>
  </si>
  <si>
    <t>POLITICAL SCIENCE / Public Affairs &amp; Administration</t>
  </si>
  <si>
    <t>JK1118</t>
  </si>
  <si>
    <t>Lobbying.,Pressure groups.</t>
  </si>
  <si>
    <t>Thomson, Stuart</t>
  </si>
  <si>
    <t>The Conscription Conflict and the Great War</t>
  </si>
  <si>
    <t>TECHNOLOGY &amp; ENGINEERING / Military Science</t>
  </si>
  <si>
    <t>UB345.A8 C66 2016eb</t>
  </si>
  <si>
    <t>Draft--Australia--History.,Draft--Australia--Public opinion.,World War, 1914-1918--Australia--History.</t>
  </si>
  <si>
    <t>Archer, Robin-Damousi, Joy-Goot, Murray-Scalmer, Sean</t>
  </si>
  <si>
    <t>Mental Illness, Human Rights and the Law</t>
  </si>
  <si>
    <t>K3608 .K45 2016eb</t>
  </si>
  <si>
    <t>Human rights.,Mental health laws--Europe.,Mental health laws--Great Britain.,Mental health laws--Ireland.</t>
  </si>
  <si>
    <t>Kelly, Brendan</t>
  </si>
  <si>
    <t>Wrights &amp; Wrongs: My Life in Dance</t>
  </si>
  <si>
    <t>PERFORMING ARTS / Dance / General</t>
  </si>
  <si>
    <t>GV1785.W76</t>
  </si>
  <si>
    <t>Ballet dancers--Great Britain--Biography.</t>
  </si>
  <si>
    <t>Wright, Peter.</t>
  </si>
  <si>
    <t>Core Skills for the CASC</t>
  </si>
  <si>
    <t>RC457</t>
  </si>
  <si>
    <t>Psychiatry--Examinations--Study guides.</t>
  </si>
  <si>
    <t>Woollard, James-Jenkinson, Josie-Royal College of Psychiatrists.</t>
  </si>
  <si>
    <t>MCQs in Psychiatry for Medical Students</t>
  </si>
  <si>
    <t>Psychiatrists--Examinations, questions, etc.,Psychiatry--Examinations, questions, etc.</t>
  </si>
  <si>
    <t>Lally, John-Tully, John</t>
  </si>
  <si>
    <t>Imaginarios sociales e imaginarios cinematogrÃ¡ficos</t>
  </si>
  <si>
    <t>PERFORMING ARTS / Film / History &amp; Criticism</t>
  </si>
  <si>
    <t>PN1993.5.A1 P765 2016</t>
  </si>
  <si>
    <t>Mass media and culture.,Motion pictures--History.,Motion pictures--Social aspects.</t>
  </si>
  <si>
    <t>Protzel, Javier.</t>
  </si>
  <si>
    <t>Ã‰tica de la comunicaciÃ³n televisiva</t>
  </si>
  <si>
    <t>LAW / Communications</t>
  </si>
  <si>
    <t>HE8700.9.P4 P47 2016</t>
  </si>
  <si>
    <t>Television broadcasting--Moral and ethical aspects--Peru.,Television--Law and legislation--Peru.</t>
  </si>
  <si>
    <t>Perla A., JoseÌ</t>
  </si>
  <si>
    <t>Chicha power</t>
  </si>
  <si>
    <t>El mÃ¡rketing se reinventa</t>
  </si>
  <si>
    <t>ART / Popular Culture</t>
  </si>
  <si>
    <t>HF5415.12.P4 .B355 2016eb</t>
  </si>
  <si>
    <t>Economic development--Peru.,Marketing--Social aspects--Peru.,Migration, Internal--Peru.</t>
  </si>
  <si>
    <t>BailoÌn, Jaime.-Nicoli, Alberto.</t>
  </si>
  <si>
    <t>Rosalind: A Biography of Shakespeareâ€™s Immortal Heroine</t>
  </si>
  <si>
    <t>PR2992.H4 T45 2016</t>
  </si>
  <si>
    <t>Rosalind (Fictitious character)</t>
  </si>
  <si>
    <t>Thirlwell, Angela</t>
  </si>
  <si>
    <t>SemiÃ³tica del discurso</t>
  </si>
  <si>
    <t>Fontanille, Jacques.-Quezada, OÌscar.</t>
  </si>
  <si>
    <t>GeoBritannica</t>
  </si>
  <si>
    <t>Geological Landscapes and the British Peoples</t>
  </si>
  <si>
    <t>QE261 .L44 2017</t>
  </si>
  <si>
    <t>Geology--Great Britain.,Human ecology--Great Britain.</t>
  </si>
  <si>
    <t>Leeder, Mike.-Lawlor, Joy.</t>
  </si>
  <si>
    <t>Â¿QuÃ© es el Derecho global?</t>
  </si>
  <si>
    <t>LAW / General</t>
  </si>
  <si>
    <t>KZ1268 .D66 2016</t>
  </si>
  <si>
    <t>International law.,Law and globalization.</t>
  </si>
  <si>
    <t>Domingo, Rafael</t>
  </si>
  <si>
    <t>El cine silente en el PerÃº</t>
  </si>
  <si>
    <t>PN1993.5.P4 B452 2016</t>
  </si>
  <si>
    <t>Electronic books.,Motion pictures--Peru--History--20th century.,Silent films--Peru--History--20th century.</t>
  </si>
  <si>
    <t>Bedoya, Ricardo</t>
  </si>
  <si>
    <t>El cine en el PerÃº</t>
  </si>
  <si>
    <t>El cortometraje: 1972-1992</t>
  </si>
  <si>
    <t>PN1993.5.P4</t>
  </si>
  <si>
    <t>Cinematography--Peru.,Industrial cinematography--Peru.</t>
  </si>
  <si>
    <t>Carbone, Giancarlo</t>
  </si>
  <si>
    <t>TermodinÃ¡mica para IngenierÃ­a Industrial</t>
  </si>
  <si>
    <t>Fondo Editorial UPN</t>
  </si>
  <si>
    <t>SCIENCE / Mechanics / Thermodynamics</t>
  </si>
  <si>
    <t>TJ265</t>
  </si>
  <si>
    <t>Thermodynamics.</t>
  </si>
  <si>
    <t>Paredes Rosario, RauÌl</t>
  </si>
  <si>
    <t>Estructura de Datos con C++</t>
  </si>
  <si>
    <t>COMPUTERS / Computer Engineering</t>
  </si>
  <si>
    <t>QA76.9.D35 .L593 2013eb</t>
  </si>
  <si>
    <t>C++ (Computer program language),Data structures (Computer science)</t>
  </si>
  <si>
    <t>Liza AÌvila, CeÌsar.</t>
  </si>
  <si>
    <t>Algoritmos y su codificaciÃ³n en C++</t>
  </si>
  <si>
    <t>QA76.9.A43</t>
  </si>
  <si>
    <t>C++ (Computer program language),Computer algorithms.,Computer programming.</t>
  </si>
  <si>
    <t>Liza AÌvila, CeÌsar</t>
  </si>
  <si>
    <t>The Return of Print? - Contemporary Australian Publishing</t>
  </si>
  <si>
    <t>PN511 .R488 2016eb</t>
  </si>
  <si>
    <t>Literature--History and criticism.</t>
  </si>
  <si>
    <t>Mannion, Aaron.-Stinson, Emmett.</t>
  </si>
  <si>
    <t>Conceiving the Goddess</t>
  </si>
  <si>
    <t>Transformation and Appropriation in Indic Religions</t>
  </si>
  <si>
    <t>RELIGION / Comparative Religion</t>
  </si>
  <si>
    <t>BL2015.G6</t>
  </si>
  <si>
    <t>Goddesses, Indic--South Asia.,Women and religion--South Asia.</t>
  </si>
  <si>
    <t>Bapat, Jayant Bhalchandra-Mabbett, Ian W.</t>
  </si>
  <si>
    <t>The Art of Neighbouring</t>
  </si>
  <si>
    <t>DS740.2 .A78 2017eb</t>
  </si>
  <si>
    <t>Saxer, Martin-Zhang, Juan</t>
  </si>
  <si>
    <t>Asian Borderlands</t>
  </si>
  <si>
    <t>The Animal Rights Struggle</t>
  </si>
  <si>
    <t>HV4705 .T73 2016eb</t>
  </si>
  <si>
    <t>Animal rights--History.,Animal welfare--History.,Human-animal relationships--History.</t>
  </si>
  <si>
    <t>TraiÌˆni, Christophe</t>
  </si>
  <si>
    <t>Memory in Motion</t>
  </si>
  <si>
    <t>B790-5739</t>
  </si>
  <si>
    <t>Social sciences (General)</t>
  </si>
  <si>
    <t>Blom, Ina.</t>
  </si>
  <si>
    <t>Recursions</t>
  </si>
  <si>
    <t>Arthur Golding's A Moral Fabletalk and Other Renaissance Fable Translations</t>
  </si>
  <si>
    <t>SOCIAL SCIENCE / Folklore &amp; Mythology</t>
  </si>
  <si>
    <t>PN981 .G65 2017</t>
  </si>
  <si>
    <t>Fables, English.</t>
  </si>
  <si>
    <t>Golding, Arthur-Blake, Liza-Santos, Kathryn Vomero</t>
  </si>
  <si>
    <t>British Television Drama</t>
  </si>
  <si>
    <t>A History</t>
  </si>
  <si>
    <t>PN1992.3.G7 C66 2015</t>
  </si>
  <si>
    <t>Television series--Great Britain--History.</t>
  </si>
  <si>
    <t>Cooke, Lez</t>
  </si>
  <si>
    <t>Knowledge Services</t>
  </si>
  <si>
    <t>A Strategic Framework for the 21st Century Organization</t>
  </si>
  <si>
    <t>De Gruyter Saur</t>
  </si>
  <si>
    <t>LANGUAGE ARTS &amp; DISCIPLINES / Library &amp; Information Science / General</t>
  </si>
  <si>
    <t>Z675.A2 S73 2017</t>
  </si>
  <si>
    <t>Information resources management.,Information science.,Intellectual capital.,Knowledge management.,Organizational learning.,Special libraries--Administration.</t>
  </si>
  <si>
    <t>St. Clair, Guy</t>
  </si>
  <si>
    <t>Current Topics in Library and Information Practice</t>
  </si>
  <si>
    <t>Video Marketing Mastery</t>
  </si>
  <si>
    <t>Creating - Advertising - Selling</t>
  </si>
  <si>
    <t>readbox publishing GmbH</t>
  </si>
  <si>
    <t>BookRix</t>
  </si>
  <si>
    <t>HF5415.1265</t>
  </si>
  <si>
    <t>Internet marketing.</t>
  </si>
  <si>
    <t>BOWDEN, SIRA R.</t>
  </si>
  <si>
    <t>The Copyright Pentalogy</t>
  </si>
  <si>
    <t>How the Supreme Court of Canada Shook the Foundations of Canadian Copyright Law</t>
  </si>
  <si>
    <t>LAW / Intellectual Property / Copyright</t>
  </si>
  <si>
    <t>Michael Geist</t>
  </si>
  <si>
    <t>Law, Technology and Society</t>
  </si>
  <si>
    <t>OCP 12c Upgrade 1Z0-060 Exam Guide</t>
  </si>
  <si>
    <t>Packt Publishing</t>
  </si>
  <si>
    <t>COMPUTERS / Databases / General</t>
  </si>
  <si>
    <t>QA76.9.D3</t>
  </si>
  <si>
    <t>Database management--Examinations--Study guides.,Electronic data processing personnel--Certification--Study guides.</t>
  </si>
  <si>
    <t>Deo, Advait-Karnati, Indira</t>
  </si>
  <si>
    <t>A Gender-based Approach to Parliamentary Discourse</t>
  </si>
  <si>
    <t>The Andalusian Parliament</t>
  </si>
  <si>
    <t>John Benjamins Publishing Co.</t>
  </si>
  <si>
    <t>John Benjamins Publishing Company</t>
  </si>
  <si>
    <t>LANGUAGE ARTS &amp; DISCIPLINES / Linguistics / Pragmatics</t>
  </si>
  <si>
    <t>P302.77 .G46 2016</t>
  </si>
  <si>
    <t>Communication in politics--Social aspects--Spain--Andalusia.,Discourse analysis--Political aspects--Spain--Andalusia.,Women legislators--Spain--Andalusia.</t>
  </si>
  <si>
    <t>Fuentes RodriÌguez, Catalina-AÌlvarez Benito, Gloria</t>
  </si>
  <si>
    <t>Discourse Approaches to Politics, Society and Culture (DAPSAC)</t>
  </si>
  <si>
    <t>The Current Global Recession</t>
  </si>
  <si>
    <t>A Theoretical and Empirical Investigation Into Developed and BRICS Economies</t>
  </si>
  <si>
    <t>Emerald Publishing</t>
  </si>
  <si>
    <t>Emerald Group Publishing Limited</t>
  </si>
  <si>
    <t>BUSINESS &amp; ECONOMICS / Economics / Macroeconomics</t>
  </si>
  <si>
    <t>HC10-1085</t>
  </si>
  <si>
    <t>Economic history--21st century.,Global Financial Crisis, 2008-2009.,Recessions--History--21st century.</t>
  </si>
  <si>
    <t>Akhilesh Chandra Prabhakar</t>
  </si>
  <si>
    <t>Making a Difference</t>
  </si>
  <si>
    <t>Fifty Years of Indigenous Programs at Monash University, 1964 - 2014</t>
  </si>
  <si>
    <t>EDUCATION / Higher</t>
  </si>
  <si>
    <t>LG715.M45</t>
  </si>
  <si>
    <t>Aboriginal Australians--Education (Higher),Aboriginal Australians--Social conditions.,Community and college--Australia.,Universities and colleges--Public services.</t>
  </si>
  <si>
    <t>Kerin, Rani</t>
  </si>
  <si>
    <t>Risk and Resilience</t>
  </si>
  <si>
    <t>Global Learning Across the Age Span</t>
  </si>
  <si>
    <t>RA566.27 .R57 2017</t>
  </si>
  <si>
    <t>Child welfare.,Dementia.,Health risk assessment--Social aspects.,Older people--Care.,Teenage pregnancy.</t>
  </si>
  <si>
    <t>Clarke, Charlotte L.-Rhynas, Sarah-Schwannauer, Matthias-Taylor, Julie</t>
  </si>
  <si>
    <t>International Migration</t>
  </si>
  <si>
    <t>The Wellbeing of Migrants</t>
  </si>
  <si>
    <t>SOCIAL SCIENCE / Emigration &amp; Immigration</t>
  </si>
  <si>
    <t>JV6225 .L56 2017eb</t>
  </si>
  <si>
    <t>Emigration and immigration--Health aspects.,Emigration and immigration--Social aspects.,Immigrants--Health and hygiene.,Immigrants--Services for.</t>
  </si>
  <si>
    <t>De Lima, Philomena.</t>
  </si>
  <si>
    <t>Policy &amp; Practice in Health and Social Care</t>
  </si>
  <si>
    <t>Colder Than Here</t>
  </si>
  <si>
    <t>PR6123.A32 S6 2005</t>
  </si>
  <si>
    <t>Death--Drama.</t>
  </si>
  <si>
    <t>Wade, Laura-Soho Theatre Company (London, England)</t>
  </si>
  <si>
    <t>A Mad World My Masters</t>
  </si>
  <si>
    <t>PR2714</t>
  </si>
  <si>
    <t>City and town life--Drama.</t>
  </si>
  <si>
    <t>Middleton, Thomas.-Porter, Phil.-Foley, Sean.</t>
  </si>
  <si>
    <t>Mies Julie</t>
  </si>
  <si>
    <t>Based on August Strindberg's Miss Julie</t>
  </si>
  <si>
    <t>PR9369.4.F37</t>
  </si>
  <si>
    <t>Farber, YaeÌˆl.-Strindberg, August</t>
  </si>
  <si>
    <t>Verge 2016</t>
  </si>
  <si>
    <t>Futures</t>
  </si>
  <si>
    <t>PR9614.92</t>
  </si>
  <si>
    <t>Australian literature--21st century.</t>
  </si>
  <si>
    <t>Blake, Megan.-Bourke, Annie.-Reid, Bonnie.</t>
  </si>
  <si>
    <t>Verge</t>
  </si>
  <si>
    <t>How to Vote Progressive in Australia</t>
  </si>
  <si>
    <t>Labor or Green?</t>
  </si>
  <si>
    <t>POLITICAL SCIENCE / Political Process / Campaigns &amp; Elections</t>
  </si>
  <si>
    <t>JQ4098</t>
  </si>
  <si>
    <t>Political parties--Australia.</t>
  </si>
  <si>
    <t>Altman, Dennis-Scalmer, Sean</t>
  </si>
  <si>
    <t>Women, War and Islamic Radicalisation in Maryam Mahboob's Afghanistan</t>
  </si>
  <si>
    <t>SOCIAL SCIENCE / Minority Studies</t>
  </si>
  <si>
    <t>HQ1735.6 .B49 2016</t>
  </si>
  <si>
    <t>Sex discrimination against women--Afghanistan.,Women in Islam.,Women--Afghanistan--Social conditions--21st century.,Women's rights--Afghanistan.</t>
  </si>
  <si>
    <t>Bezhan, Faridullah</t>
  </si>
  <si>
    <t>Australian Religious Thought</t>
  </si>
  <si>
    <t>RELIGION / Philosophy</t>
  </si>
  <si>
    <t>BL2610</t>
  </si>
  <si>
    <t>Religious thought--Australia.,Theology--Australia--History.</t>
  </si>
  <si>
    <t>Hudson, Wayne</t>
  </si>
  <si>
    <t>Truce</t>
  </si>
  <si>
    <t>Subtitle Murder, Myth and the Last Days of the Irish War of Independence</t>
  </si>
  <si>
    <t>DA962 .O138 2016eb</t>
  </si>
  <si>
    <t>Nationalism--Ireland--History--20th century.,Revolutions--Ireland--History.</t>
  </si>
  <si>
    <t>OÌ Ruairc, PaÌdraig OÌg.</t>
  </si>
  <si>
    <t>NLP: Principles in Practice</t>
  </si>
  <si>
    <t>Ecademy Press</t>
  </si>
  <si>
    <t>PSYCHOLOGY / Applied Psychology</t>
  </si>
  <si>
    <t>BF637.N46</t>
  </si>
  <si>
    <t>Neurolinguistic programming.</t>
  </si>
  <si>
    <t>Lisa Wake.</t>
  </si>
  <si>
    <t>Pathway to Rebellion:</t>
  </si>
  <si>
    <t>Galway 1916</t>
  </si>
  <si>
    <t>DA962 .H48 2016</t>
  </si>
  <si>
    <t>Henry, William-TotalBoox-TBX</t>
  </si>
  <si>
    <t>The Impact of Losing Your Job</t>
  </si>
  <si>
    <t>HD5724 .E35 2016eb</t>
  </si>
  <si>
    <t>Economic security--Germany.,Economic security--United States.,Unemployment--Germany.,Unemployment--United States.</t>
  </si>
  <si>
    <t>Ehlert, Martin</t>
  </si>
  <si>
    <t>Changing Welfare States</t>
  </si>
  <si>
    <t>Animal Rights Activism</t>
  </si>
  <si>
    <t>HM881 .J33 2016eb</t>
  </si>
  <si>
    <t>Animal rights movement.,Social movements.</t>
  </si>
  <si>
    <t>Jacobsson, Kerstin-Lindblom, Jonas</t>
  </si>
  <si>
    <t>Exiles and Expatriates in the History of Knowledge, 1500â€“2000</t>
  </si>
  <si>
    <t>Brandeis University Press</t>
  </si>
  <si>
    <t>AZ231</t>
  </si>
  <si>
    <t>Aliens--History.,Aliens--Intellectual life.,Exiles--History.,Exiles--Intellectual life.,Knowledge, Sociology of--History.,Knowledge, Theory of--History.,Learning and scholarship--History.</t>
  </si>
  <si>
    <t>Burke, Peter</t>
  </si>
  <si>
    <t>The Menahem Stern Jerusalem Lectures</t>
  </si>
  <si>
    <t>Beyond Gallipoli</t>
  </si>
  <si>
    <t>New Perspectives on Anzac</t>
  </si>
  <si>
    <t>HISTORY / Europe / Western</t>
  </si>
  <si>
    <t>D523</t>
  </si>
  <si>
    <t>War and society.,World War, 1914-1918--Social aspects--Australia.,World War, 1914-1918--Social aspects--New Zealand.,World War, 1914-1918--Social aspects--Turkey.</t>
  </si>
  <si>
    <t>Frances, Rae-Scates, Bruce</t>
  </si>
  <si>
    <t>Writing for Raksmey</t>
  </si>
  <si>
    <t>A Story of Cambodia</t>
  </si>
  <si>
    <t>HISTORY / Asia / Southeast Asia</t>
  </si>
  <si>
    <t>DS554.3</t>
  </si>
  <si>
    <t>Refugees--Cambodia.</t>
  </si>
  <si>
    <t>Healy, Joan</t>
  </si>
  <si>
    <t>Small Screens</t>
  </si>
  <si>
    <t>Essays on Contemporary Australian Television</t>
  </si>
  <si>
    <t>PERFORMING ARTS / Reference</t>
  </si>
  <si>
    <t>PN1992.3.A8</t>
  </si>
  <si>
    <t>Television programs--Australia.,Television programs--Australia--Anecdotes.,Television programs--Australia--History.,Television programs--Australia--Public opinion.,Television--Australia.,Television--Australia--History.</t>
  </si>
  <si>
    <t>Arrow, Michelle-Baker, Jeannine-Monagle, Clare</t>
  </si>
  <si>
    <t>Nation-Building As Necessary Effort in Fragile States</t>
  </si>
  <si>
    <t>POLITICAL SCIENCE / General</t>
  </si>
  <si>
    <t>JZ6300 .G76 2016eb</t>
  </si>
  <si>
    <t>Nation-building.,Nation-state.</t>
  </si>
  <si>
    <t>Grotenhuis, ReneÌ</t>
  </si>
  <si>
    <t>A Handful of Sand</t>
  </si>
  <si>
    <t>The Gurindji Struggle, After the Walk-off</t>
  </si>
  <si>
    <t>DU125.G8 W37 2016</t>
  </si>
  <si>
    <t>Cattle trade--Australia--Northern Territory--History--20th century.,Gurindji (Australian people)--Social conditions--20th century.,Livestock workers--Australia--Northern Territory--History--20th century.,Strikes and lockouts--Australia--Northern Territory--Cattle trade--History--20th century.</t>
  </si>
  <si>
    <t>Ward, Charlie</t>
  </si>
  <si>
    <t>Some People Talk About Violence</t>
  </si>
  <si>
    <t>PERFORMING ARTS / Theater / Playwriting</t>
  </si>
  <si>
    <t>PR6118.A29 S66 2015</t>
  </si>
  <si>
    <t>Violence--Drama.</t>
  </si>
  <si>
    <t>Raczka, Lulu-Barrel Organ</t>
  </si>
  <si>
    <t>Homer's Odyssey</t>
  </si>
  <si>
    <t>POETRY / Epic</t>
  </si>
  <si>
    <t>PA4025.A5 C4 2016</t>
  </si>
  <si>
    <t>Epic poetry, Greek--Translations into English.</t>
  </si>
  <si>
    <t>Homer.-Chapman, George-Kendal, Gordon</t>
  </si>
  <si>
    <t>Talking on the Water</t>
  </si>
  <si>
    <t>Conversations About Nature and Creativity</t>
  </si>
  <si>
    <t>PS163</t>
  </si>
  <si>
    <t>American literature--20th century--History and criticism--Theory, etc.,Authors, American--20th century--Interviews.,Creative ability.,Nature in literature.</t>
  </si>
  <si>
    <t>White, Jonathan</t>
  </si>
  <si>
    <t>Oedipus in Brooklyn and Other Stories</t>
  </si>
  <si>
    <t>Mandel Vilar Press</t>
  </si>
  <si>
    <t>PJ5129.L4175</t>
  </si>
  <si>
    <t>Short stories, Yiddish--Translations into English.</t>
  </si>
  <si>
    <t>Lempel, Blume-Cassedy, Ellen-Taub, Yermiyahu Ahron</t>
  </si>
  <si>
    <t>Conservation Directory 2017</t>
  </si>
  <si>
    <t>The Guide to Worldwide Environmental Organizations</t>
  </si>
  <si>
    <t>Carrel Books</t>
  </si>
  <si>
    <t>NATURE / Environmental Conservation &amp; Protection</t>
  </si>
  <si>
    <t>S920 .C667 2016eb</t>
  </si>
  <si>
    <t>Conservation of natural resources.,Conservation of natural resources--Directories.</t>
  </si>
  <si>
    <t>Breuer, Lindsey.</t>
  </si>
  <si>
    <t>The Little Book of Transformative Community Conferencing</t>
  </si>
  <si>
    <t>A Hopeful, Practical Approach to Dialogue</t>
  </si>
  <si>
    <t>Good Books</t>
  </si>
  <si>
    <t>LAW / Alternative Dispute Resolution</t>
  </si>
  <si>
    <t>HN49.C6 .H655 2016eb</t>
  </si>
  <si>
    <t>Community development.,Community organization.,Conflict management.</t>
  </si>
  <si>
    <t>Hooker, David Anderson</t>
  </si>
  <si>
    <t>Justice and Peacebuilding</t>
  </si>
  <si>
    <t>The Bitcoin Guidebook</t>
  </si>
  <si>
    <t>How to Obtain, Invest, and Spend the World's First Decentralized Cryptocurrency</t>
  </si>
  <si>
    <t>BUSINESS &amp; ECONOMICS / Personal Finance / Investing</t>
  </si>
  <si>
    <t>HG1710 .D46 2016eb</t>
  </si>
  <si>
    <t>Bitcoin.,Cryptography.,Electronic funds transfers.,Money.</t>
  </si>
  <si>
    <t>DeMartino, Ian</t>
  </si>
  <si>
    <t>Listening to Type</t>
  </si>
  <si>
    <t>Skyhorse Publishing, Inc.</t>
  </si>
  <si>
    <t>Z250</t>
  </si>
  <si>
    <t>Design--History.,Printing--History.</t>
  </si>
  <si>
    <t>White, Alex W.</t>
  </si>
  <si>
    <t>Ecotopia 2121</t>
  </si>
  <si>
    <t>A Vision for Our Future Green Utopia?in 100 Cities</t>
  </si>
  <si>
    <t>Arcade</t>
  </si>
  <si>
    <t>NATURE / Ecology</t>
  </si>
  <si>
    <t>HT241</t>
  </si>
  <si>
    <t>City planning.,Sustainable urban development.,Urban ecology (Sociology)</t>
  </si>
  <si>
    <t>Marshall, Alan</t>
  </si>
  <si>
    <t>Acting the Song</t>
  </si>
  <si>
    <t>Student Companion Ebook</t>
  </si>
  <si>
    <t>Allworth</t>
  </si>
  <si>
    <t>PERFORMING ARTS / Theater / Broadway &amp; Musicals</t>
  </si>
  <si>
    <t>MT956</t>
  </si>
  <si>
    <t>Acting in musical theater.,Musical theater--Instruction and study.</t>
  </si>
  <si>
    <t>Moore, Tracey.</t>
  </si>
  <si>
    <t>The President, the Pope, And the Prime Minister</t>
  </si>
  <si>
    <t>Three Who Changed the World</t>
  </si>
  <si>
    <t>Regnery History</t>
  </si>
  <si>
    <t>HISTORY / Modern / 20th Century</t>
  </si>
  <si>
    <t>E877.2</t>
  </si>
  <si>
    <t>Communism--Europe, Eastern--History--20th century.,International relations--History--20th century.,Popes--Biography.,Presidents--United States--Biography.,Prime ministers--Great Britain--Biography.,World politics--1945-1989.</t>
  </si>
  <si>
    <t>O'Sullivan, John.</t>
  </si>
  <si>
    <t>Humphrey Jennings</t>
  </si>
  <si>
    <t>Film-maker, Painter, Poet</t>
  </si>
  <si>
    <t>PN1998.3 .J4633 2014</t>
  </si>
  <si>
    <t>Jennings, Marie-Louise</t>
  </si>
  <si>
    <t>BFI Silver</t>
  </si>
  <si>
    <t>Origins of the Universe and What It All Means: A Memoir</t>
  </si>
  <si>
    <t>Dzanc Books</t>
  </si>
  <si>
    <t>CT275.F5547 A3 2016eb</t>
  </si>
  <si>
    <t>Authors, American--21st century--Biography.,Authors, American--21st century--Family relationships.,Essayists--United States--Biography.,Fathers and daughters--United States.</t>
  </si>
  <si>
    <t>Firstman, Carole</t>
  </si>
  <si>
    <t>No News Is Bad News</t>
  </si>
  <si>
    <t>Canada's Media Collapse - and What Comes Next</t>
  </si>
  <si>
    <t>Greystone Books</t>
  </si>
  <si>
    <t>SOCIAL SCIENCE / Media Studies</t>
  </si>
  <si>
    <t>PN4909 .G55 2016</t>
  </si>
  <si>
    <t>Journalism.,Journalism--Canada.,Press.,Press--Canada.</t>
  </si>
  <si>
    <t>Gill, Ian-Goodhand, Margo</t>
  </si>
  <si>
    <t>The Trials of the King of Hampshire</t>
  </si>
  <si>
    <t>Madness, Secrecy and Betrayal in Georgian England</t>
  </si>
  <si>
    <t>HISTORY / Modern / 18th Century</t>
  </si>
  <si>
    <t>DA536.P85 F69 2016eb</t>
  </si>
  <si>
    <t>Insanity (Law)--Great Britain.</t>
  </si>
  <si>
    <t>Foyster, Elizabeth A.</t>
  </si>
  <si>
    <t>Dr James Barry</t>
  </si>
  <si>
    <t>A Woman Ahead of Her Time</t>
  </si>
  <si>
    <t>BIOGRAPHY &amp; AUTOBIOGRAPHY / Medical (incl. Patients)</t>
  </si>
  <si>
    <t>RD27.35.B368 P7 2016eb</t>
  </si>
  <si>
    <t>Physicians--Biography.,Women physicians--Biography.</t>
  </si>
  <si>
    <t>Du Preez, Michael-Dronfield, Jeremy</t>
  </si>
  <si>
    <t>The School of Sophisticated Drinking</t>
  </si>
  <si>
    <t>An Intoxicating History of Seven Spirits</t>
  </si>
  <si>
    <t>COOKING / Beverages / Alcoholic / General</t>
  </si>
  <si>
    <t>TP590.5 .E3613 2015</t>
  </si>
  <si>
    <t>Brandy--History.,Brandy--Social aspects.,Champagne (Wine)--History.,Champagne (Wine)--Social aspects.,Gin--History.,Gin--Social aspects.,Liquors--History.,Liquors--Social aspects.,Rum--History.,Rum--Social aspects.,Tequila--History.,Tequila--Social aspects.,Vodka--History.,Vodka--Social aspects.</t>
  </si>
  <si>
    <t>Ehmer, Kerstin</t>
  </si>
  <si>
    <t>Kafka and the Universal</t>
  </si>
  <si>
    <t>PT2621.A26</t>
  </si>
  <si>
    <t>Philosophy in literature--Congresses.</t>
  </si>
  <si>
    <t>Cools, Arthur-Liska, Vivian</t>
  </si>
  <si>
    <t>Interdisciplinary German Cultural Studies</t>
  </si>
  <si>
    <t>Street Politics in the Age of Austerity</t>
  </si>
  <si>
    <t>HN18.3</t>
  </si>
  <si>
    <t>Protest movements--History--21st century.</t>
  </si>
  <si>
    <t>Angelovici, Marcos-Dufour, Pascale-Nez, HeÌloiÌˆse</t>
  </si>
  <si>
    <t>Humour and Irony in Dutch Post-war Fiction Film</t>
  </si>
  <si>
    <t>PN1993.5.N4 V49 2016eb</t>
  </si>
  <si>
    <t>Motion pictures--Netherlands--History--20th century.,Wit and humor in motion pictures.</t>
  </si>
  <si>
    <t>Verstraten, Peter</t>
  </si>
  <si>
    <t>Genocide</t>
  </si>
  <si>
    <t>HV6322.7 .G454 2016eb</t>
  </si>
  <si>
    <t>Genocide (International law),Genocide.</t>
  </si>
  <si>
    <t>UÌˆngoÌˆr, UgÌ†ur UÌˆmit</t>
  </si>
  <si>
    <t>NIOD Studies on War, Holocaust, and Genocide</t>
  </si>
  <si>
    <t>Borderland City in New India</t>
  </si>
  <si>
    <t>HT147.I4 M33 2016</t>
  </si>
  <si>
    <t>City and town life--India--ImphaÂ¯l.</t>
  </si>
  <si>
    <t>McDuie-Ra, Duncan</t>
  </si>
  <si>
    <t>Open Access E-Books</t>
  </si>
  <si>
    <t>The Sexual Abuse of Children</t>
  </si>
  <si>
    <t>Recognition and Redress</t>
  </si>
  <si>
    <t>HV6570</t>
  </si>
  <si>
    <t>Child sexual abuse--Prevention.,Sexually abused children.</t>
  </si>
  <si>
    <t>Smaal, Yorick-Kaladelfos, Amanda-Finnane, Mike</t>
  </si>
  <si>
    <t>â€œFrozen Conflictsâ€ in Europe</t>
  </si>
  <si>
    <t>budrich academic</t>
  </si>
  <si>
    <t>Verlag Barbara Budrich</t>
  </si>
  <si>
    <t>POLITICAL SCIENCE / World / European</t>
  </si>
  <si>
    <t>JZ3900 .F76 2015eb</t>
  </si>
  <si>
    <t>Secession--Case studies.,Security, International--Europe.,Sovereignty.</t>
  </si>
  <si>
    <t>Bebler, Anton</t>
  </si>
  <si>
    <t>How to Write a Business Plan</t>
  </si>
  <si>
    <t>Nolo</t>
  </si>
  <si>
    <t>NOLO</t>
  </si>
  <si>
    <t>BUSINESS &amp; ECONOMICS / Small Business</t>
  </si>
  <si>
    <t>Business planning.,New business enterprises--Finance.,New business enterprises--Planning.,Small business--Finance.,Small business--Planning.</t>
  </si>
  <si>
    <t>McKeever, Mike P.</t>
  </si>
  <si>
    <t>First Blood</t>
  </si>
  <si>
    <t>A Cultural Study of Menarche</t>
  </si>
  <si>
    <t>GN484.38</t>
  </si>
  <si>
    <t>Menarche.,Menstruation--Cross-cultural studies.,Menstruation--Folklore.,Menstruation--Religious aspects.</t>
  </si>
  <si>
    <t>Dammery, Sally</t>
  </si>
  <si>
    <t>Saved to Remember</t>
  </si>
  <si>
    <t>Raoul Wallenberg, Budapest 1944 and After</t>
  </si>
  <si>
    <t>DS135.P63</t>
  </si>
  <si>
    <t>Holocaust survivors--Hungary.,Holocaust, Jewish (1939-1945)--Hungary.,Jews--Hungary--History--20th century.</t>
  </si>
  <si>
    <t>Vajda, F. J. E.</t>
  </si>
  <si>
    <t>Manga Vision</t>
  </si>
  <si>
    <t>Cultural and Communicative Perspectives</t>
  </si>
  <si>
    <t>ART / Techniques / Drawing</t>
  </si>
  <si>
    <t>PN6790.J3</t>
  </si>
  <si>
    <t>Comic books, strips, etc., in art.,Comic books, strips, etc., in education.,Comic books, strips, etc.--Social aspects.,Comic books, strips, etc.--Social aspects--Japan.,Subculture--Japan.</t>
  </si>
  <si>
    <t>Pasfield-Neofitou, Sarah E.-Sell, Cathy-Chan, Queenie</t>
  </si>
  <si>
    <t>Cultural Studies</t>
  </si>
  <si>
    <t>Activism and Aid</t>
  </si>
  <si>
    <t>Young Citizens' Experience of Development and Democracy in Timor-Leste</t>
  </si>
  <si>
    <t>HC450.5.Z9 W54 2016</t>
  </si>
  <si>
    <t>Humanitarian assistance--Timor-Leste.,Nation-building--Timor-Leste.</t>
  </si>
  <si>
    <t>Wigglesworth, Ann</t>
  </si>
  <si>
    <t>Monash Asia Series</t>
  </si>
  <si>
    <t>Developing, Modelling and Assessing Second Languages</t>
  </si>
  <si>
    <t>P118.2 .D474 2016</t>
  </si>
  <si>
    <t>Bilingualism.,Cross-language information retrieval.,Interlanguage (Language learning),Language acquisition.,Language and languages--Study and teaching.,Psycholinguistics.,Second language acquisition--Study and teaching.</t>
  </si>
  <si>
    <t>Kessler, JoÌˆrg-U-Lenzing, Anke-Liebner, Mathias</t>
  </si>
  <si>
    <t>Processability Approaches to Language Acquisition Research &amp; Teaching (PALART)</t>
  </si>
  <si>
    <t>Blade Runner</t>
  </si>
  <si>
    <t>Auteur</t>
  </si>
  <si>
    <t>PN1997.B596</t>
  </si>
  <si>
    <t>Redmond, Sean.</t>
  </si>
  <si>
    <t>The Perfect Stage Crew</t>
  </si>
  <si>
    <t>The Complete Technical Guide for High School, College, and Community Theater</t>
  </si>
  <si>
    <t>PERFORMING ARTS / Theater / Stagecraft &amp; Scenography</t>
  </si>
  <si>
    <t>PN2091.S8 K35 2016</t>
  </si>
  <si>
    <t>Stage lighting.,Stage machinery.,Stage management.,Theater architecture.,Theater--Marketing.,Theaters--Stage-setting and scenery.</t>
  </si>
  <si>
    <t>Kaluta, John-ProQuest (Firm)</t>
  </si>
  <si>
    <t>Terra Preta</t>
  </si>
  <si>
    <t>How the World's Most Fertile Soil Can Help Reverse Climate Change and Reduce World Hunger</t>
  </si>
  <si>
    <t>S663 .S413 2016eb</t>
  </si>
  <si>
    <t>Agriculture--Environmental aspects.,Biochar.,Carbon sequestration.,Charcoal.,Climate change mitigation.,Soil amendments.,Soil fertility.</t>
  </si>
  <si>
    <t>Scheub, Ute.-Flannery, Tim F.-Pieplow, Haiko-Schmidt, Hans-Peter-Draper, Kathleen</t>
  </si>
  <si>
    <t>Fractured Modernity</t>
  </si>
  <si>
    <t>America Confronts Modern Times, 1890s to 1940s</t>
  </si>
  <si>
    <t>HN64</t>
  </si>
  <si>
    <t>Welskopp, Thomas-Lessoff, Alan.</t>
  </si>
  <si>
    <t>Schriften Des Historischen Kollegs. Kolloquien</t>
  </si>
  <si>
    <t>Language-Learner Computer Interactions</t>
  </si>
  <si>
    <t>Theory, Methodology and CALL Applications</t>
  </si>
  <si>
    <t>LANGUAGE ARTS &amp; DISCIPLINES / Study &amp; Teaching</t>
  </si>
  <si>
    <t>P53.28</t>
  </si>
  <si>
    <t>Language and languages--Computer-assisted instruction.,Language and languages--Study and teaching--Computer network resources.,Second language acquisition--Computer-assisted instruction.</t>
  </si>
  <si>
    <t>Caws, Catherine-Hamel, Marie-JoseÌe</t>
  </si>
  <si>
    <t>Language Studies, Science and Engineering</t>
  </si>
  <si>
    <t>How to Pass Higher Administration and IT for CfE</t>
  </si>
  <si>
    <t>Hodder Education Group</t>
  </si>
  <si>
    <t>HF5547.5</t>
  </si>
  <si>
    <t>Management information systems--Examinations--Study guides.,Office practice--Examinations--Study guides.</t>
  </si>
  <si>
    <t>Bradley, Anne-Stephenson, Adam</t>
  </si>
  <si>
    <t>Awake at the Bedside</t>
  </si>
  <si>
    <t>Contemplative Teachings on Palliative and End-of-Life Care</t>
  </si>
  <si>
    <t>MEDICAL / Terminal Care</t>
  </si>
  <si>
    <t>BQ4570.C27 A93 2016eb</t>
  </si>
  <si>
    <t>Caring--Religious aspects--Buddhism.,Palliative treatment.</t>
  </si>
  <si>
    <t>Paley Ellison, Koshin</t>
  </si>
  <si>
    <t>How to Write an Emergency Plan</t>
  </si>
  <si>
    <t>HV551.2 .A44 2016</t>
  </si>
  <si>
    <t>Emergency management--Planning.</t>
  </si>
  <si>
    <t>Alexander, David</t>
  </si>
  <si>
    <t>Asset-based Approaches</t>
  </si>
  <si>
    <t>Their Rise, Role and Reality</t>
  </si>
  <si>
    <t>SOCIAL SCIENCE / Human Services</t>
  </si>
  <si>
    <t>HV40 .G378 2016</t>
  </si>
  <si>
    <t>Social service.,Social service--Government policy.,Social service--Government policy--Scotland.</t>
  </si>
  <si>
    <t>Garven, Fiona-McLean, Jennifer-Pattoni, Lisa</t>
  </si>
  <si>
    <t>One Hundred Twenty-One Days</t>
  </si>
  <si>
    <t>Deep Vellum Publishing</t>
  </si>
  <si>
    <t>FICTION / Literary</t>
  </si>
  <si>
    <t>PQ2661.U3215</t>
  </si>
  <si>
    <t>Mathematicians--France--Fiction.,World War, 1914-1918--Fiction.,World War, 1939-1945--Fiction.</t>
  </si>
  <si>
    <t>Audin, MicheÌ€le-Hills, Christiana</t>
  </si>
  <si>
    <t>Native American Almanac</t>
  </si>
  <si>
    <t>More Than 50,000 Years of the Cultures and Histories of Indigenous Peoples</t>
  </si>
  <si>
    <t>Visible Ink Press</t>
  </si>
  <si>
    <t>HISTORY / Native American</t>
  </si>
  <si>
    <t>E77 .D394 2016eb</t>
  </si>
  <si>
    <t>Indians of North America--History.,Indians of North America--Social life and customs.</t>
  </si>
  <si>
    <t>Dennis, Yvonne Wakim-Hirschfelder, Arlene B.-Flynn, Shannon Rothenberger</t>
  </si>
  <si>
    <t>Valley Walls</t>
  </si>
  <si>
    <t>A Memoir of Climbing and Living in Yosemite</t>
  </si>
  <si>
    <t>Yosemite Conservancy</t>
  </si>
  <si>
    <t>BIOGRAPHY &amp; AUTOBIOGRAPHY / Sports</t>
  </si>
  <si>
    <t>GV199.92.D46</t>
  </si>
  <si>
    <t>Mountaineers--United States--Biography.,Rock climbing--California--Yosemite National Park.</t>
  </si>
  <si>
    <t>Denny, Glen.</t>
  </si>
  <si>
    <t>The Hunting Ground</t>
  </si>
  <si>
    <t>The Inside Story of Sexual Assault on American College Campuses</t>
  </si>
  <si>
    <t>Hot Books</t>
  </si>
  <si>
    <t>SOCIAL SCIENCE / Wome[a-zA-Z]'[a-zA-Z] Studies</t>
  </si>
  <si>
    <t>LB2345.3.R37 D53 2016eb</t>
  </si>
  <si>
    <t>Rape in universities and colleges--United States.</t>
  </si>
  <si>
    <t>Dick, Kirby-Ziering, Amy-Matthiessen, Constance</t>
  </si>
  <si>
    <t>Sinatra and the Jack Pack</t>
  </si>
  <si>
    <t>The Extraordinary Friendship Between Frank Sinatra and John F. Kennedy?Why They Bonded and What Went Wrong</t>
  </si>
  <si>
    <t>ML420.S565</t>
  </si>
  <si>
    <t>Presidents--United States--Biography.,Singers--United States--Biography.</t>
  </si>
  <si>
    <t>Sheridan, Michael-Harvey, David</t>
  </si>
  <si>
    <t>Leadership in the Performing Arts</t>
  </si>
  <si>
    <t>PERFORMING ARTS / Business Aspects</t>
  </si>
  <si>
    <t>PN1584 .S74 2016e</t>
  </si>
  <si>
    <t>Arts--Management.,Performing arts--Management.</t>
  </si>
  <si>
    <t>Stein, Tobie S.-Lynch, Robert L.</t>
  </si>
  <si>
    <t>Internet Book Piracy</t>
  </si>
  <si>
    <t>The Fight to Protect Authors, Publishers, and Our Culture</t>
  </si>
  <si>
    <t>K1440</t>
  </si>
  <si>
    <t>Copyright and electronic data processing.,Copyright infringement.,Peer-to-peer architecture (Computer networks)--Law and legislation.,Piracy (Copyright)</t>
  </si>
  <si>
    <t>Scott, Gini Graham</t>
  </si>
  <si>
    <t>Emotional and Behavioral Problems</t>
  </si>
  <si>
    <t>A Handbook for Understanding and Handling Students</t>
  </si>
  <si>
    <t>EDUCATION / Teaching Methods &amp; Materials / General</t>
  </si>
  <si>
    <t>LC4181</t>
  </si>
  <si>
    <t>Mentally ill children--Education--United States--Handbooks, manuals, etc.,Problem children--Education--United States--Handbooks, manuals, etc.</t>
  </si>
  <si>
    <t>Zionts, Paul.-Zionts, Laura.-Simpson, Richard L.</t>
  </si>
  <si>
    <t>Scalia's Court</t>
  </si>
  <si>
    <t>A Legacy of Landmark Opinions and Dissents</t>
  </si>
  <si>
    <t>Regnery Publishing</t>
  </si>
  <si>
    <t>POLITICAL SCIENCE / Political Ideologies / Conservatism &amp; Liberalism</t>
  </si>
  <si>
    <t>KF8745.S33 .S335 2016</t>
  </si>
  <si>
    <t>Judicial opinions.,Judicial opinions--United States.</t>
  </si>
  <si>
    <t>Ring, Kevin A.-Scalia, Antonin.</t>
  </si>
  <si>
    <t>The Fight for Beauty</t>
  </si>
  <si>
    <t>Our Path to a Better Future</t>
  </si>
  <si>
    <t>S934.G7</t>
  </si>
  <si>
    <t>Landscape protection--Great Britain.</t>
  </si>
  <si>
    <t>Reynolds, Fiona.</t>
  </si>
  <si>
    <t>Sounds and Sweet Airs</t>
  </si>
  <si>
    <t>The Forgotten Women of Classical Music</t>
  </si>
  <si>
    <t>MUSIC / Genres &amp; Styles / Classical</t>
  </si>
  <si>
    <t>ML390</t>
  </si>
  <si>
    <t>Music.,Women composers--Europe--Biography.</t>
  </si>
  <si>
    <t>Beer, Anna R.-Recorded Books, Inc.</t>
  </si>
  <si>
    <t>Five Ideas to Fight For</t>
  </si>
  <si>
    <t>How Our Freedom Is Under Threat and Why It Matters</t>
  </si>
  <si>
    <t>POLITICAL SCIENCE / Political Freedom</t>
  </si>
  <si>
    <t>K370</t>
  </si>
  <si>
    <t>Civil rights--Great Britain.,Human rights--Great Britain.,Rule of law--Great Britain.,Sociological jurisprudence--Great Britain.</t>
  </si>
  <si>
    <t>Lester of Herne Hill, Anthony Paul Lester</t>
  </si>
  <si>
    <t>Ancient Philosophy</t>
  </si>
  <si>
    <t>PHILOSOPHY / Movements / General</t>
  </si>
  <si>
    <t>B111</t>
  </si>
  <si>
    <t>Philosophy, Ancient.</t>
  </si>
  <si>
    <t>Prior, William.</t>
  </si>
  <si>
    <t>I-Minds</t>
  </si>
  <si>
    <t>How Cell Phones, Computers, Gaming, and Social Media Are Changing Our Brains, Our Behavior, and the Evolution of Our Species</t>
  </si>
  <si>
    <t>New Society Publishers</t>
  </si>
  <si>
    <t>T58.5</t>
  </si>
  <si>
    <t>Brain.,Human behavior.,Human evolution.,Technology--Psychological aspects.,Technology--Social aspects.</t>
  </si>
  <si>
    <t>Swingle, Mari K</t>
  </si>
  <si>
    <t>The Consequences of Chaos</t>
  </si>
  <si>
    <t>SyriaÂ’s Humanitarian Crisis and the Failure to Protect</t>
  </si>
  <si>
    <t>POLITICAL SCIENCE / World / Middle Eastern</t>
  </si>
  <si>
    <t>HV640.5.S97 F47 2016</t>
  </si>
  <si>
    <t>Humanitarianism.,Refugees--International cooperation.,Refugees--Syria.</t>
  </si>
  <si>
    <t>Ferris, Elizabeth G.-KirisÌ§ci, Kemal</t>
  </si>
  <si>
    <t>The Marshall Papers</t>
  </si>
  <si>
    <t>The Best of Writers and Company</t>
  </si>
  <si>
    <t>LITERARY COLLECTIONS / Essays</t>
  </si>
  <si>
    <t>PN453</t>
  </si>
  <si>
    <t>Authors--Interviews.</t>
  </si>
  <si>
    <t>Wachtel, Eleanor.</t>
  </si>
  <si>
    <t>Lives of the Poets (with Guitars)</t>
  </si>
  <si>
    <t>Thirteen Outsiders Who Changed Modern Music</t>
  </si>
  <si>
    <t>MUSIC / History &amp; Criticism</t>
  </si>
  <si>
    <t>ML385</t>
  </si>
  <si>
    <t>Musicians--Biography.</t>
  </si>
  <si>
    <t>Robertson, Ray</t>
  </si>
  <si>
    <t>Digital Marketing Strategy</t>
  </si>
  <si>
    <t>An Integrated Approach to Online Marketing</t>
  </si>
  <si>
    <t>Kogan Page</t>
  </si>
  <si>
    <t>BUSINESS &amp; ECONOMICS / Marketing / General</t>
  </si>
  <si>
    <t>HF5548.32 .K566 2016</t>
  </si>
  <si>
    <t>Electronic commerce--Management.,Internet marketing.,Strategic planning.</t>
  </si>
  <si>
    <t>Kingsnorth, Simon</t>
  </si>
  <si>
    <t>Mahabharata Book Six (Volume 1)</t>
  </si>
  <si>
    <t>Bhishma</t>
  </si>
  <si>
    <t>BL1138.242.B55 E5 2008</t>
  </si>
  <si>
    <t>Hinduism--Sacred books.</t>
  </si>
  <si>
    <t>Guha, Ranajit-Cherniak, Alex</t>
  </si>
  <si>
    <t>Mahabharata</t>
  </si>
  <si>
    <t>Bhattiâ€™s Poem: The Death of Ravana</t>
  </si>
  <si>
    <t>PK3791.B562 B513 2009eb</t>
  </si>
  <si>
    <t>BhatÌ£tÌ£i.-Fallon, Oliver.</t>
  </si>
  <si>
    <t>How the Nagas Were Pleased by Harsha &amp; The Shattered Thighs by Bhasa</t>
  </si>
  <si>
    <t>PK3794.H3 N3313 2009</t>
  </si>
  <si>
    <t>HarsÌ£avardhana-Skilton, Andrew.-BhaÌ„sa.</t>
  </si>
  <si>
    <t>AM:STARs Current Psychopharmacology for Psychiatric Disorders in Adolescents</t>
  </si>
  <si>
    <t>Adolescent Medicine State of the Art Reviews, Volume 24, No. 2</t>
  </si>
  <si>
    <t>American Academy of Pediatrics</t>
  </si>
  <si>
    <t>MEDICAL / Psychiatry / Child &amp; Adolescent</t>
  </si>
  <si>
    <t>RC480 .A365 2013eb</t>
  </si>
  <si>
    <t>Mental illness--Treatment--Handbooks, manuals, etc.,Psychiatry--Handbooks, manuals, etc.</t>
  </si>
  <si>
    <t>Hendren, Robert L.-Reeve, Alya</t>
  </si>
  <si>
    <t>AM:STARs</t>
  </si>
  <si>
    <t>Is There a Judeo-Christian Tradition?</t>
  </si>
  <si>
    <t>A European Perspective</t>
  </si>
  <si>
    <t>HISTORY / Jewish</t>
  </si>
  <si>
    <t>BM535 .I65 2016</t>
  </si>
  <si>
    <t>Christianity and other religions--Judaism.,Judaism--Relations--Christianity.,Theology, Doctrinal--Europe.</t>
  </si>
  <si>
    <t>Nathan, Emmanuel-Topolski, Anya</t>
  </si>
  <si>
    <t>Perspectives in Jewish Texts and Contexts, PJTC</t>
  </si>
  <si>
    <t>Essays on Platoâ€™s Epistemology</t>
  </si>
  <si>
    <t>Leuven University Press</t>
  </si>
  <si>
    <t>PHILOSOPHY / History &amp; Surveys / General</t>
  </si>
  <si>
    <t>B398.K7 T73 2016eb</t>
  </si>
  <si>
    <t>Knowledge, Theory of.</t>
  </si>
  <si>
    <t>Trabattoni, Franco</t>
  </si>
  <si>
    <t>Ancient and Medieval Philosophy. Series I</t>
  </si>
  <si>
    <t>Clinical Nurse Leader Certification Review, Second Edition</t>
  </si>
  <si>
    <t>Springer Publishing Company, Inc.</t>
  </si>
  <si>
    <t>Springer Publishing Company</t>
  </si>
  <si>
    <t>MEDICAL / Nursing / Test Preparation &amp; Review</t>
  </si>
  <si>
    <t>RT55</t>
  </si>
  <si>
    <t>Nurse practitioners--Examinations, questions, etc.,Nurse practitioners--Outlines, syllabi, etc.</t>
  </si>
  <si>
    <t>King, Cynthia R.-Gerard, Sally O'Toole</t>
  </si>
  <si>
    <t>Goodnight Dorm Room</t>
  </si>
  <si>
    <t>All the Advice I Wish I Got Before Going to College</t>
  </si>
  <si>
    <t>HUMOR / Form / Parodies</t>
  </si>
  <si>
    <t>PN6231.C6</t>
  </si>
  <si>
    <t>College students--Conduct of life--Humor.,College students--Social life and customs--Humor.</t>
  </si>
  <si>
    <t>Kaplan, Samuel.-Riegert, Keith.</t>
  </si>
  <si>
    <t>Insane Devotion</t>
  </si>
  <si>
    <t>On the Writing of Gerald Stern</t>
  </si>
  <si>
    <t>PS3569.T3888 Z67 2016eb</t>
  </si>
  <si>
    <t>Moscaliuc, Mihaela</t>
  </si>
  <si>
    <t>Manga Art for Beginners</t>
  </si>
  <si>
    <t>How to Create Your Own Manga Drawings</t>
  </si>
  <si>
    <t>NC730</t>
  </si>
  <si>
    <t>Comic books, strips, etc--Technique.,Drawing--Technique.,Figure drawing--Technique.</t>
  </si>
  <si>
    <t>Davidson, Danica-Westin, Melanie</t>
  </si>
  <si>
    <t>How Music Dies (or Lives)</t>
  </si>
  <si>
    <t>Field Recording and the Battle for Democracy in the Arts</t>
  </si>
  <si>
    <t>MUSIC / Ethnomusicology</t>
  </si>
  <si>
    <t>ML429.B746 A3 2016</t>
  </si>
  <si>
    <t>Music--21st century--History and criticism.,Sound recording executives and producers--Biography.</t>
  </si>
  <si>
    <t>Brennan, Ian-Delli, Marilena-Tucker, Corin</t>
  </si>
  <si>
    <t>Addicted</t>
  </si>
  <si>
    <t>Notes From the Belly of the Beast</t>
  </si>
  <si>
    <t>SELF-HELP / Substance Abuse &amp; Addictions / General</t>
  </si>
  <si>
    <t>HV5840.C3 A63 2016</t>
  </si>
  <si>
    <t>Addicts--Psychology.,Authors, American--20th century--Biography.,Authors, American--21st century--Biography.,Dependency (Psychology)</t>
  </si>
  <si>
    <t>Crozier, Lorna-Lane, Patrick</t>
  </si>
  <si>
    <t>Economics</t>
  </si>
  <si>
    <t>A Beginner's Guide</t>
  </si>
  <si>
    <t>BUSINESS &amp; ECONOMICS / Economics / General</t>
  </si>
  <si>
    <t>HM548 .F673 2016eb</t>
  </si>
  <si>
    <t>Economics--Sociological aspects.</t>
  </si>
  <si>
    <t>Forder, James.</t>
  </si>
  <si>
    <t>Islamic and Jewish Legal Reasoning</t>
  </si>
  <si>
    <t>Encountering Our Legal Other</t>
  </si>
  <si>
    <t>RELIGION / Islam / General</t>
  </si>
  <si>
    <t>KB190</t>
  </si>
  <si>
    <t>Islamic law.,Islam--Relations--Judaism.,Jewish law.,Judaism--Relations--Islam.</t>
  </si>
  <si>
    <t>Emon, Anver M.</t>
  </si>
  <si>
    <t>The Seven</t>
  </si>
  <si>
    <t>The Lives and Legacies of the Founding Fathers of the Irish Republic</t>
  </si>
  <si>
    <t>DA965.A1 E39 2016</t>
  </si>
  <si>
    <t>Edwards, Ruth Dudley</t>
  </si>
  <si>
    <t>I'm Going to Ruin Their Lives</t>
  </si>
  <si>
    <t>Inside Putin's War on Russia's Opposition</t>
  </si>
  <si>
    <t>POLITICAL SCIENCE / World / Russian &amp; Former Soviet Union</t>
  </si>
  <si>
    <t>DK510.763 .B46 2016</t>
  </si>
  <si>
    <t>Dissenters--Russia (Federation),Political activists--Russia (Federation),Political participation--Russia (Federation),Political rights--Russia (Federation),Protest movements--Russia (Federation),Public opinion--Russia (Federation),Urban youth--Political activity--Russia (Federation)</t>
  </si>
  <si>
    <t>Bennetts, Marc</t>
  </si>
  <si>
    <t>My Journey Into the Heart of Terror</t>
  </si>
  <si>
    <t>Ten Days in the Islamic State</t>
  </si>
  <si>
    <t>POLITICAL SCIENCE / Terrorism</t>
  </si>
  <si>
    <t>HV6433.I722</t>
  </si>
  <si>
    <t>Islamic fundamentalism--Middle East.,Terrorism--Middle East.,Terrorism--Religious aspects--Islam.</t>
  </si>
  <si>
    <t>TodenhoÌˆfer, JuÌˆrgen-May, A. O</t>
  </si>
  <si>
    <t>Made in Africa</t>
  </si>
  <si>
    <t>Learning to Compete in Industry</t>
  </si>
  <si>
    <t>HC800.Z9 I537 2016</t>
  </si>
  <si>
    <t>Economic development--Africa--International cooperation.,Industrial policy--Africa.,Industrialization--Africa.,Investments, Foreign--Africa.</t>
  </si>
  <si>
    <t>Newman, Carol-Page, John M.-World Institute for Development Economics Research.-Rand, John-African Development Bank.-Abebe Shimeles-SoÌˆderbom, MaÌŠns-Tarp, Finn</t>
  </si>
  <si>
    <t>Frankie Styne &amp; the Silver Man</t>
  </si>
  <si>
    <t>FICTION / Thrillers / Crime</t>
  </si>
  <si>
    <t>PR6066.A325 F726 2015</t>
  </si>
  <si>
    <t>Disfigured persons--Fiction.,Neighbors--Fiction.,Revenge--Fiction.,Single mothers--Fiction.</t>
  </si>
  <si>
    <t>Page, Kathy</t>
  </si>
  <si>
    <t>Cognition, Language and Aging</t>
  </si>
  <si>
    <t>P118.65 .C64 2016</t>
  </si>
  <si>
    <t>Aging--Psychological aspects.,Cognition in old age.,Cognitive psychology.,Language acquisition--Age factors.,Language disorders in old age.,Psycholinguistics.</t>
  </si>
  <si>
    <t>Wright, Heather Harris</t>
  </si>
  <si>
    <t>Predictive HR Analytics</t>
  </si>
  <si>
    <t>Mastering the HR Metric</t>
  </si>
  <si>
    <t>BUSINESS &amp; ECONOMICS / Human Resources &amp; Personnel Management</t>
  </si>
  <si>
    <t>HF5549</t>
  </si>
  <si>
    <t>Personnel management--Statistical methods.</t>
  </si>
  <si>
    <t>Edwards, Martin R.</t>
  </si>
  <si>
    <t>The Mirror of Beryl</t>
  </si>
  <si>
    <t>A Historical Introduction to Tibetan Medicine</t>
  </si>
  <si>
    <t>MEDICAL / History</t>
  </si>
  <si>
    <t>R127.5.S263513 2009</t>
  </si>
  <si>
    <t>Medicine, Tibetan--History.</t>
  </si>
  <si>
    <t>Sangs-rgyas-rgya-mtsho-Kilty, Gavin.</t>
  </si>
  <si>
    <t>Advanced Problems in Mathematics: Preparing for University</t>
  </si>
  <si>
    <t>Open Book Publishers</t>
  </si>
  <si>
    <t>Siklos, Stephen</t>
  </si>
  <si>
    <t>A Life Unforeseen</t>
  </si>
  <si>
    <t>A Memoir of Service to Tibet</t>
  </si>
  <si>
    <t>DS432.T5</t>
  </si>
  <si>
    <t>Politicians--China--Tibet Autonomous Region--Biography.,Refugees, Tibetan--India--Biography.,Tibetans--India--Biography.</t>
  </si>
  <si>
    <t>Rinchen Sadhutshang</t>
  </si>
  <si>
    <t>Forensic Science</t>
  </si>
  <si>
    <t>SCIENCE / Life Sciences / Anatomy &amp; Physiology</t>
  </si>
  <si>
    <t>HV8073 .S4433 2016</t>
  </si>
  <si>
    <t>Forensic sciences--Popular works.</t>
  </si>
  <si>
    <t>Siegel, Jay H.</t>
  </si>
  <si>
    <t>Beginners Guides</t>
  </si>
  <si>
    <t>Clinical Care of the Diabetic Foot</t>
  </si>
  <si>
    <t>MEDICAL / Podiatry</t>
  </si>
  <si>
    <t>RC951</t>
  </si>
  <si>
    <t>Diabetes--Complications.,Foot--Diseases.,Foot--Surgery.</t>
  </si>
  <si>
    <t>Armstrong, David G.-American Diabetes Association-Lavery, Lawrence A.</t>
  </si>
  <si>
    <t>Albert Bond Lambert</t>
  </si>
  <si>
    <t>Aviation Pioneer</t>
  </si>
  <si>
    <t>Truman State University</t>
  </si>
  <si>
    <t>Truman State University Press</t>
  </si>
  <si>
    <t>JUVENILE NONFICTION / Biography &amp; Autobiography / General</t>
  </si>
  <si>
    <t>TL540.L267</t>
  </si>
  <si>
    <t>Aeronautics--United States--History--Juvenile literature.,Air pilots--Missouri--Biography--Juvenile literature.,Businessmen--Missouri--Biography--Juvenile literature.</t>
  </si>
  <si>
    <t>Lynch, Christopher</t>
  </si>
  <si>
    <t>Notable Missourians</t>
  </si>
  <si>
    <t>Jean Jennings Bartik</t>
  </si>
  <si>
    <t>Computer Pioneer</t>
  </si>
  <si>
    <t>JUVENILE NONFICTION / Computers / Hardware</t>
  </si>
  <si>
    <t>QA76.2.B27</t>
  </si>
  <si>
    <t>Computer industry--United States--History--Juvenile literature.,Computer programmers--United States--Biography--Juvenile literature.,Computer scientists--United States--Biography--Juvenile literature.,ENIAC (Computer)--History--Juvenile literature.,Women computer programmers--United States--Biography--Juvenile literature.,Women computer scientists--United States--Biography--Juvenile literature.</t>
  </si>
  <si>
    <t>Todd, Kim D.</t>
  </si>
  <si>
    <t>Notes on the Aniconic</t>
  </si>
  <si>
    <t>The Foundations of Psychology in Ontology</t>
  </si>
  <si>
    <t>Karnac Books</t>
  </si>
  <si>
    <t>Eric Rhode Ebook</t>
  </si>
  <si>
    <t>PSYCHOLOGY / General</t>
  </si>
  <si>
    <t>BF175.4.P45</t>
  </si>
  <si>
    <t>Ontology.,Psychoanalysis and philosophy.</t>
  </si>
  <si>
    <t>Rhode, Eric-hoopla digital.</t>
  </si>
  <si>
    <t>The 30 Day MBA</t>
  </si>
  <si>
    <t>Your Fast Track Guide to Business Success</t>
  </si>
  <si>
    <t>HD31 .B36895 2016eb</t>
  </si>
  <si>
    <t>Industrial management.,Management--Study and teaching.,Master of business administration degree.</t>
  </si>
  <si>
    <t>Barrow, Colin</t>
  </si>
  <si>
    <t>Introducing Natural Resources</t>
  </si>
  <si>
    <t>Dundedin Academic Press</t>
  </si>
  <si>
    <t>BUSINESS &amp; ECONOMICS / Real Estate / General</t>
  </si>
  <si>
    <t>HC85</t>
  </si>
  <si>
    <t>Mines and mineral resources.,Natural resources.,Nonrenewable natural resources.,Renewable energy sources.</t>
  </si>
  <si>
    <t>Introducing Earth and Environmental Sciences</t>
  </si>
  <si>
    <t>The Abyss of Time</t>
  </si>
  <si>
    <t>A Study in Geological Time and Earth History</t>
  </si>
  <si>
    <t>QE508 .L95 2016</t>
  </si>
  <si>
    <t>Geological time.,Geology, Stratigraphic.</t>
  </si>
  <si>
    <t>Lyle, Paul</t>
  </si>
  <si>
    <t>Trauma Informed Care in the Perinatal Period</t>
  </si>
  <si>
    <t>Growing Forward</t>
  </si>
  <si>
    <t>RC552.P67</t>
  </si>
  <si>
    <t>Mental illness in pregnancy.,Post-traumatic stress disorder.,Pregnancy--Complications.,Prenatal influences.</t>
  </si>
  <si>
    <t>Seng, Julia-Taylor, Julie</t>
  </si>
  <si>
    <t>Protecting Children and Young People Series</t>
  </si>
  <si>
    <t>Mobilizing Labour for the Global Coffee Market</t>
  </si>
  <si>
    <t>DS31-35.2</t>
  </si>
  <si>
    <t>Coffee industry--Indonesia--Java--History.,Forced labor--Indonesia--Java--History.</t>
  </si>
  <si>
    <t>Breman, Jan</t>
  </si>
  <si>
    <t>Social Histories of Work in Asia</t>
  </si>
  <si>
    <t>Ripples of Hope</t>
  </si>
  <si>
    <t>JC571-628</t>
  </si>
  <si>
    <t>Government, Resistance to--Africa--Case studies.,Nonviolence--Africa--Case studies.,Protest movements--Africa--Case studies.,Social movements--Africa--Case studies.</t>
  </si>
  <si>
    <t>Press, Robert M.</t>
  </si>
  <si>
    <t>Medium, Messenger, Transmission</t>
  </si>
  <si>
    <t>P91 .K6313 2015eb</t>
  </si>
  <si>
    <t>Communication--Philosophy.,Mass media--Philosophy.,Metaphysics.</t>
  </si>
  <si>
    <t>KraÌˆmer, Sybille-KraÌˆmer, Sybille.-Enns, Anthony</t>
  </si>
  <si>
    <t>Recursions: Theories of Media, Materiality, and Cultural Techniques</t>
  </si>
  <si>
    <t>Breaking Down the State</t>
  </si>
  <si>
    <t>HM881 .B74 2015eb</t>
  </si>
  <si>
    <t>Order.,Political participation.,Political science.,Political sociology.,Protest movements.,Social movements.,State, The.</t>
  </si>
  <si>
    <t>Duyvendak, Jan Willem-Jasper, James M.</t>
  </si>
  <si>
    <t>Soul of the Documentary</t>
  </si>
  <si>
    <t>PN1995.9.D6 H635 2015eb</t>
  </si>
  <si>
    <t>Documentary films--History and criticism.</t>
  </si>
  <si>
    <t>Hongisto, Ilona</t>
  </si>
  <si>
    <t>The Country Wife</t>
  </si>
  <si>
    <t>Full Text and Introduction (NHB Drama Classics)</t>
  </si>
  <si>
    <t>Nick Hern Books</t>
  </si>
  <si>
    <t>PR3774 .C6 2015</t>
  </si>
  <si>
    <t>Married women--Drama.,Seduction--Drama.</t>
  </si>
  <si>
    <t>Wycherley, William-Griffiths, Trevor R.</t>
  </si>
  <si>
    <t>Drama Classics</t>
  </si>
  <si>
    <t>Josephine Tey</t>
  </si>
  <si>
    <t>A Life</t>
  </si>
  <si>
    <t>Sandstone Press</t>
  </si>
  <si>
    <t>FICTION / General</t>
  </si>
  <si>
    <t>PR6025.A2547 Z876 2015</t>
  </si>
  <si>
    <t>Authors, Scottish--20th century--Biography.,Women authors, Scottish--20th century--Biography.</t>
  </si>
  <si>
    <t>Henderson, Jennifer Morag.</t>
  </si>
  <si>
    <t>Digital Divas</t>
  </si>
  <si>
    <t>Putting the Wow Into Computing for Girls</t>
  </si>
  <si>
    <t>COMPUTERS / Information Technology</t>
  </si>
  <si>
    <t>QA76.9.W65 F57 2016</t>
  </si>
  <si>
    <t>Computers and women.,Computers--Study and teaching (Secondary),Information technology--Study and teaching (Secondary),Women in computer science.,Women in information science.</t>
  </si>
  <si>
    <t>Fisher, Julie-Craig, Annemieke-Forgasz, Helen-Lang, Catherine</t>
  </si>
  <si>
    <t>Witch-hunt and Conspiracy</t>
  </si>
  <si>
    <t>The 'Ninja Case' in East Java</t>
  </si>
  <si>
    <t>BODY, MIND &amp; SPIRIT / Witchcraft</t>
  </si>
  <si>
    <t>BF1584.I5 H477 2016</t>
  </si>
  <si>
    <t>Conflict management--Indonesia--Java.,Ethnic conflict--Indonesia--Java.,Political violence--Indonesia--Java.,Social conflict--Indonesia--Java.,Violence--Indonesia--Java.,Witchcraft--Indonesia--Java.</t>
  </si>
  <si>
    <t>Herriman, Nicholas</t>
  </si>
  <si>
    <t>The U.S. Forest Service</t>
  </si>
  <si>
    <t>A Centennial History</t>
  </si>
  <si>
    <t>University of Washington Press</t>
  </si>
  <si>
    <t>TECHNOLOGY &amp; ENGINEERING / Agriculture / Forestry</t>
  </si>
  <si>
    <t>SD565</t>
  </si>
  <si>
    <t>Steen, Harold K.</t>
  </si>
  <si>
    <t>Jean Galbraith - Writer in a Valley</t>
  </si>
  <si>
    <t>NATURE / Plants / General</t>
  </si>
  <si>
    <t>QK31.G16</t>
  </si>
  <si>
    <t>Botanists--Australia--Biography.,Gardeners--Australia--Biography.</t>
  </si>
  <si>
    <t>Fletcher, Meredith.</t>
  </si>
  <si>
    <t>Sexual Ethics and Islam</t>
  </si>
  <si>
    <t>Feminist Reflections on Qur'an, Hadith and Jurisprudence</t>
  </si>
  <si>
    <t>RELIGION / Sexuality &amp; Gender Studies</t>
  </si>
  <si>
    <t>HQ32</t>
  </si>
  <si>
    <t>Feminist theory.,Islamic ethics.,Sex--Islamic countries--Religious aspects.,Sexual ethics--Islamic countries.</t>
  </si>
  <si>
    <t>Ali, Kecia</t>
  </si>
  <si>
    <t>Stage Lighting</t>
  </si>
  <si>
    <t>Fundamentals and Applications</t>
  </si>
  <si>
    <t>Taylor &amp; Francis (CAM)</t>
  </si>
  <si>
    <t>Routledge</t>
  </si>
  <si>
    <t>PERFORMING ARTS / Theater / General</t>
  </si>
  <si>
    <t>PN2091.E4 D87 2015</t>
  </si>
  <si>
    <t>Stage lighting.</t>
  </si>
  <si>
    <t>Dunham, Richard E.</t>
  </si>
  <si>
    <t>Living Mindfully</t>
  </si>
  <si>
    <t>At Home, at Work, and in the World</t>
  </si>
  <si>
    <t>BODY, MIND &amp; SPIRIT / Mindfulness &amp; Meditation</t>
  </si>
  <si>
    <t>BQ5612 .D38 2015eb</t>
  </si>
  <si>
    <t>Meditation--Buddhism.</t>
  </si>
  <si>
    <t>David, Deborah Schoeberlein</t>
  </si>
  <si>
    <t>The Wheel of Life</t>
  </si>
  <si>
    <t>Buddhist Perspectives on Cause and Effect</t>
  </si>
  <si>
    <t>BQ7935.B774 M4 2015eb</t>
  </si>
  <si>
    <t>Buddhism--Doctrines.,Causation (Buddhism),Karma.,Religious life--Buddhism.</t>
  </si>
  <si>
    <t>Bstan-Ê¼dzin-rgya-mtsho-Hopkins, Jeffrey.</t>
  </si>
  <si>
    <t>An Exact Likeness: The Portraits of John Wesley</t>
  </si>
  <si>
    <t>United Methodist Publishing House</t>
  </si>
  <si>
    <t>Abingdon Press</t>
  </si>
  <si>
    <t>ND237.W4443</t>
  </si>
  <si>
    <t>Methodist Church--England--Clergy--Biography.</t>
  </si>
  <si>
    <t>Heitzenrater, Richard P.</t>
  </si>
  <si>
    <t>Great Soul of Siberia</t>
  </si>
  <si>
    <t>Passion, Obsession, and One Man's Quest for the World's Most Elusive Tiger</t>
  </si>
  <si>
    <t>NATURE / Animals / Big Cats</t>
  </si>
  <si>
    <t>QL737.C23</t>
  </si>
  <si>
    <t>Siberian tiger--Conservation--Russia (Federation)--Russian Far East.,Siberian tiger--Russia (Federation)--Russian Far East.</t>
  </si>
  <si>
    <t>Park, Sooyong</t>
  </si>
  <si>
    <t>Clean Hands</t>
  </si>
  <si>
    <t>Clair Patterson's Crusade Against Environmental Lead Contamination</t>
  </si>
  <si>
    <t>Nova Science Publishers, Inc.</t>
  </si>
  <si>
    <t>QE514.62.P37 C48 1999eb</t>
  </si>
  <si>
    <t>Geochemists--United States--Biography.,Lead--Environmental aspects.</t>
  </si>
  <si>
    <t>Davidson, Cliff I.</t>
  </si>
  <si>
    <t>Wordplay and Metalinguistic / Metadiscursive Reflection</t>
  </si>
  <si>
    <t>Authors, Contexts, Techniques, and Meta-Reflection</t>
  </si>
  <si>
    <t>De Gruyter Mouton</t>
  </si>
  <si>
    <t>P304 .W67 2015</t>
  </si>
  <si>
    <t>Discourse analysis.,Metalanguage.,Plays on words.</t>
  </si>
  <si>
    <t>Winter-Froemel, Esme-Zirker, Angelika</t>
  </si>
  <si>
    <t>The Dynamics of Wordplay</t>
  </si>
  <si>
    <t>Why Be Moral?</t>
  </si>
  <si>
    <t>PHILOSOPHY / Ethics &amp; Moral Philosophy</t>
  </si>
  <si>
    <t>BJ37 .W49 2015eb</t>
  </si>
  <si>
    <t>Ethics.</t>
  </si>
  <si>
    <t>Himmelmann, Beatrix.</t>
  </si>
  <si>
    <t>The Hanged Man and the Body Thief</t>
  </si>
  <si>
    <t>Finding Lives in a Museum Mystery</t>
  </si>
  <si>
    <t>BIOGRAPHY &amp; AUTOBIOGRAPHY / Rich &amp; Famous</t>
  </si>
  <si>
    <t>DU123.3</t>
  </si>
  <si>
    <t>Aboriginal Australians--Biography.,Body snatching--Australia.,Phrenology--Australia--History.</t>
  </si>
  <si>
    <t>Roginski, Alexandra</t>
  </si>
  <si>
    <t>Surgery for Cochlear and Other Auditory Implants</t>
  </si>
  <si>
    <t>MEDICAL / Otolaryngology</t>
  </si>
  <si>
    <t>RF305</t>
  </si>
  <si>
    <t>Cochlear implants.,Deafness--Surgery.</t>
  </si>
  <si>
    <t>Sanna, M.-Falcioni, Maurizio-Merkus, Paul-Free, Rolien</t>
  </si>
  <si>
    <t>Laminations</t>
  </si>
  <si>
    <t>Poems by Murray Edmond</t>
  </si>
  <si>
    <t>PR9639.3.E4</t>
  </si>
  <si>
    <t>New Zealand poetry--20th century.</t>
  </si>
  <si>
    <t>Clung</t>
  </si>
  <si>
    <t>POETRY / Australian &amp; Oceanian</t>
  </si>
  <si>
    <t>PR9639.4.Y45</t>
  </si>
  <si>
    <t>New Zealand poetry--21st century.</t>
  </si>
  <si>
    <t>Puna Wai Korero</t>
  </si>
  <si>
    <t>An Anthology of Maori Poetry in English</t>
  </si>
  <si>
    <t>PR9635.25 .P85 2014</t>
  </si>
  <si>
    <t>Maori (New Zealand people)--Poetry.,Maori poetry.,New Zealand poetry.</t>
  </si>
  <si>
    <t>Whaitiri, Reina-Sullivan, Robert</t>
  </si>
  <si>
    <t>How to Be Dead in a Year of Snakes</t>
  </si>
  <si>
    <t>POETRY / General</t>
  </si>
  <si>
    <t>PR9639.4.T74 H69 2014</t>
  </si>
  <si>
    <t>New Zealand poetry.</t>
  </si>
  <si>
    <t>Tse, Chris</t>
  </si>
  <si>
    <t>Tauira</t>
  </si>
  <si>
    <t>Maori Methods of Learning and Teaching</t>
  </si>
  <si>
    <t>LB3501.M3</t>
  </si>
  <si>
    <t>Maori (New Zealand people)--Education--20th century.,Maori (New Zealand people)--Social life and customs.</t>
  </si>
  <si>
    <t>Metge, Joan</t>
  </si>
  <si>
    <t>Ko Tautoro, Te Pito O Toku Ao</t>
  </si>
  <si>
    <t>A Ngapuhi Narrative</t>
  </si>
  <si>
    <t>SOCIAL SCIENCE / Ethnic Studies / General</t>
  </si>
  <si>
    <t>GN380</t>
  </si>
  <si>
    <t>Indigenous peoples--New Zealand--History.</t>
  </si>
  <si>
    <t>Sadler, Hone</t>
  </si>
  <si>
    <t>I, Clodia, and Other Portraits</t>
  </si>
  <si>
    <t>PR9635.25</t>
  </si>
  <si>
    <t>Jackson, Anna.</t>
  </si>
  <si>
    <t>The New Art of the Fifteenth Century</t>
  </si>
  <si>
    <t>Abbeville Press</t>
  </si>
  <si>
    <t>ART / History / Renaissance</t>
  </si>
  <si>
    <t>N6921.F7 B555 2015eb</t>
  </si>
  <si>
    <t>Art, Flemish--15th century.,Art, Italian--Italy--Florence--15th century.,Christian art and symbolism--Flanders--Renaissance, 1450-1600.,Christian art and symbolism--Italy--Florence--Renaissance, 1450-1600.</t>
  </si>
  <si>
    <t>Blum, Shirley Neilsen</t>
  </si>
  <si>
    <t>The German-Jewish Experience Revisited</t>
  </si>
  <si>
    <t>SOCIAL SCIENCE / Jewish Studies</t>
  </si>
  <si>
    <t>DS134.27 .G47 2015</t>
  </si>
  <si>
    <t>Jews--Germany--History--1990-,Jews--Germany--Identity.,Jews--Germany--Social conditions.</t>
  </si>
  <si>
    <t>Aschheim, Steven E.</t>
  </si>
  <si>
    <t>Perspectives on Jewish Texts and Contexts</t>
  </si>
  <si>
    <t>Bird Strike</t>
  </si>
  <si>
    <t>The Crash of the Boston Electra</t>
  </si>
  <si>
    <t>TL553.525.M4 K35 2010eb</t>
  </si>
  <si>
    <t>Aircraft accidents--Massachusetts--Boston.,Aircraft bird strikes--Massachusetts--Boston.,Electra (Turboprop transports)</t>
  </si>
  <si>
    <t>Kalafatas, Michael N.</t>
  </si>
  <si>
    <t>Healing Corrections</t>
  </si>
  <si>
    <t>The Future of Imprisonment</t>
  </si>
  <si>
    <t>Johns Hopkins University Press</t>
  </si>
  <si>
    <t>Northeastern</t>
  </si>
  <si>
    <t>HV9471 .I556 2015eb</t>
  </si>
  <si>
    <t>Correctional psychology--United States.,Corrections--United States.,Organizational change--United States.,Prisons--Social aspects--United States.</t>
  </si>
  <si>
    <t>Innes, Chris.</t>
  </si>
  <si>
    <t>UPCC Book Collections on Project MUSE</t>
  </si>
  <si>
    <t>Malevolent Muse</t>
  </si>
  <si>
    <t>The Life of Alma Mahler</t>
  </si>
  <si>
    <t>BIOGRAPHY &amp; AUTOBIOGRAPHY / Music</t>
  </si>
  <si>
    <t>DB844.M34</t>
  </si>
  <si>
    <t>Arts--Austria--History--20th century.,Wives--Biography.</t>
  </si>
  <si>
    <t>Hilmes, Oliver-Arthur, Donald</t>
  </si>
  <si>
    <t>More Than Honey</t>
  </si>
  <si>
    <t>The Survival of Bees and the Future of Our World</t>
  </si>
  <si>
    <t>NATURE / Animals / Insects &amp; Spiders</t>
  </si>
  <si>
    <t>QL563</t>
  </si>
  <si>
    <t>Colony collapse disorder of honeybees.,Honeybee--Diseases.</t>
  </si>
  <si>
    <t>Imhoof, Markus-Lieckfeld, Claus-Peter</t>
  </si>
  <si>
    <t>Building Europe</t>
  </si>
  <si>
    <t>A History of European Unification</t>
  </si>
  <si>
    <t>JN15</t>
  </si>
  <si>
    <t>European communities--History.,European federation--History.</t>
  </si>
  <si>
    <t>Loth, Wilfried</t>
  </si>
  <si>
    <t>Players and Arenas</t>
  </si>
  <si>
    <t>HM881 .D898 2015eb</t>
  </si>
  <si>
    <t>Political participation.,Protest movements.,Social movements--Psychological aspects.</t>
  </si>
  <si>
    <t>Jasper, James M.-Duyvendak, Jan Willem</t>
  </si>
  <si>
    <t>Observing Protest From a Place</t>
  </si>
  <si>
    <t>HN18.3 .O27 2015eb</t>
  </si>
  <si>
    <t>Anti-globalization movement--Africa.,Protest movements.,Social movements--International cooperation.</t>
  </si>
  <si>
    <t>Sommier, Isabelle.-Pommerolle, Marie-Emmanuelle.-SimeÌant, Johanna.</t>
  </si>
  <si>
    <t>Late-career Risks in Changing Welfare States</t>
  </si>
  <si>
    <t>HV275 .H45 2015eb</t>
  </si>
  <si>
    <t>Public welfare--Germany.,Public welfare--United States.,Welfare state--Germany.,Welfare state--United States.</t>
  </si>
  <si>
    <t>Heisig, Jan Paul</t>
  </si>
  <si>
    <t>Principles and Practice of Keyhole Brain Surgery</t>
  </si>
  <si>
    <t>MEDICAL / Surgery / Neurosurgery</t>
  </si>
  <si>
    <t>RD594 .P75 2015</t>
  </si>
  <si>
    <t>Brain--Endoscopic surgery.,Nervous system--Surgery.</t>
  </si>
  <si>
    <t>Teo, Charles-Sughrue, Michael E.</t>
  </si>
  <si>
    <t>A Touch More Rare</t>
  </si>
  <si>
    <t>Harry Berger, Jr., and the Arts of Interpretation</t>
  </si>
  <si>
    <t>Fordham University Press</t>
  </si>
  <si>
    <t>PN75.B45 T68 2009eb</t>
  </si>
  <si>
    <t>Critics--United States.,Scholars--United States.</t>
  </si>
  <si>
    <t>Levine, Nina S.-Miller, David Lee</t>
  </si>
  <si>
    <t>Voices of Italian America</t>
  </si>
  <si>
    <t>A History of Early Italian American Literature with a Critical Anthology</t>
  </si>
  <si>
    <t>HISTORY / Social History</t>
  </si>
  <si>
    <t>PQ5981 .M3733 2012eb</t>
  </si>
  <si>
    <t>American literature--Italian American authors--History and criticism.,Italian American literature--History and criticism.,Italian Americans in literature.,Italian Americans--Intellectual life.,Italian literature--20th century--History and criticism.,Italians--United States--Intellectual life.</t>
  </si>
  <si>
    <t>Marazzi, Martino-Goldstein, Ann</t>
  </si>
  <si>
    <t>Lacan and the Limits of Language</t>
  </si>
  <si>
    <t>LITERARY CRITICISM / European / General</t>
  </si>
  <si>
    <t>BF109.L23 S54 2008eb</t>
  </si>
  <si>
    <t>Shepherdson, Charles.</t>
  </si>
  <si>
    <t>Hating Empire Properly</t>
  </si>
  <si>
    <t>The Two Indies and the Limits of Enlightenment Anticolonialism</t>
  </si>
  <si>
    <t>American Literatures Initiative</t>
  </si>
  <si>
    <t>HISTORY / Caribbean &amp; West Indies / General</t>
  </si>
  <si>
    <t>JC359</t>
  </si>
  <si>
    <t>Imperialism--History.,Imperialism--Philosophy.</t>
  </si>
  <si>
    <t>Agnani, Sunil M.</t>
  </si>
  <si>
    <t>Reading the Allegorical Intertext</t>
  </si>
  <si>
    <t>Chaucer, Spenser, Shakespeare, Milton</t>
  </si>
  <si>
    <t>PR21</t>
  </si>
  <si>
    <t>English literature--History and criticism--Theory, etc.,Influence (Literary, artistic, etc.),Intertextuality.,Symbolism in literature.</t>
  </si>
  <si>
    <t>Anderson, Judith H.</t>
  </si>
  <si>
    <t>An Ethics of Betrayal</t>
  </si>
  <si>
    <t>The Politics of Otherness in Emergent U.S. Literatures and Culture</t>
  </si>
  <si>
    <t>LITERARY CRITICISM / American / General</t>
  </si>
  <si>
    <t>PS153.M56 P37 2009eb</t>
  </si>
  <si>
    <t>American literature--Minority authors--History and criticism.,Betrayal in literature.,Comparative literature.,Ethics in literature.,Race relations in literature.</t>
  </si>
  <si>
    <t>Parikh, Crystal.</t>
  </si>
  <si>
    <t>Saintly Influence</t>
  </si>
  <si>
    <t>Edith Wyschogrod and the Possibilities of Philosophy of Religion</t>
  </si>
  <si>
    <t>BL51 .S3493 2009eb</t>
  </si>
  <si>
    <t>Continental philosophy.,Religion--Philosophy.</t>
  </si>
  <si>
    <t>Wyschogrod, Edith.-Boynton, Eric.-Kavka, Martin.</t>
  </si>
  <si>
    <t>Perspectives in Continental Philosophy</t>
  </si>
  <si>
    <t>Speaking About Torture</t>
  </si>
  <si>
    <t>POLITICAL SCIENCE / Human Rights</t>
  </si>
  <si>
    <t>PN56.T62</t>
  </si>
  <si>
    <t>Torture in literature.,Torture in mass media.</t>
  </si>
  <si>
    <t>Carlson, Julie A.-Weber, Elisabeth.</t>
  </si>
  <si>
    <t>In the Place of Language</t>
  </si>
  <si>
    <t>Literature and the Architecture of the Referent</t>
  </si>
  <si>
    <t>PN54</t>
  </si>
  <si>
    <t>Literature--Philosophy.,Reference (Linguistics),Reference (Philosophy),Semiotics and literature.</t>
  </si>
  <si>
    <t>Brodsky, Claudia</t>
  </si>
  <si>
    <t>Constellation</t>
  </si>
  <si>
    <t>Friedrich Nietzsche and Walter Benjamin in the Now-Time of History</t>
  </si>
  <si>
    <t>Modern Language Initiative</t>
  </si>
  <si>
    <t>B3317 .M43 2013 INTERNET</t>
  </si>
  <si>
    <t>McFarland, James</t>
  </si>
  <si>
    <t>Miracle on High Street</t>
  </si>
  <si>
    <t>The Rise, Fall and Resurrection of St. Benedict's Prep in Newark, N.J.</t>
  </si>
  <si>
    <t>HISTORY / United States / State &amp; Local / Middle Atlantic (DC, DE, MD, NJ, NY, PA)</t>
  </si>
  <si>
    <t>LD7501.N6 M336 2011</t>
  </si>
  <si>
    <t>Minorities--Education (Secondary)--New Jersey--Newark--History.,Preparatory schools--New Jersey--Newark--History.</t>
  </si>
  <si>
    <t>McCabe, Thomas Allen</t>
  </si>
  <si>
    <t>The Rhetoric of Terror</t>
  </si>
  <si>
    <t>Reflections on 9/11 and the War on Terror</t>
  </si>
  <si>
    <t>HV6432.7</t>
  </si>
  <si>
    <t>September 11 Terrorist Attacks, 2001.,Terrorism--Psychological aspects.</t>
  </si>
  <si>
    <t>Redfield, Marc</t>
  </si>
  <si>
    <t>Manhattan</t>
  </si>
  <si>
    <t>Letters From Prehistory</t>
  </si>
  <si>
    <t>PQ2663.I9 Z4613 2007</t>
  </si>
  <si>
    <t>Authors, French--20th century--Biography.,Authors, French--21st century--Biography.</t>
  </si>
  <si>
    <t>Cixous, HeÌleÌ€ne-Brahic, Beverley Bie.</t>
  </si>
  <si>
    <t>Dis-Enclosure</t>
  </si>
  <si>
    <t>The Deconstruction of Christianity</t>
  </si>
  <si>
    <t>PHILOSOPHY / Religious</t>
  </si>
  <si>
    <t>BL51</t>
  </si>
  <si>
    <t>Deconstruction.,Philosophy and religion--History--20th century.</t>
  </si>
  <si>
    <t>Nancy, Jean-Luc-Smith, Michael B.-Malenfant, Gabriel-Bergo, Bettina</t>
  </si>
  <si>
    <t>Narratives of Catastrophe</t>
  </si>
  <si>
    <t>Boris Diop, Ben Jelloun, Khatibi</t>
  </si>
  <si>
    <t>PQ3984 .Q33 2009eb</t>
  </si>
  <si>
    <t>African fiction (French)--History and criticism.,Disasters in literature.,Storytelling in literature.</t>
  </si>
  <si>
    <t>Qader, Nasrin.</t>
  </si>
  <si>
    <t>Will As Commitment and Resolve</t>
  </si>
  <si>
    <t>An Existential Account of Creativity, Love, Virtue, and Happiness</t>
  </si>
  <si>
    <t>BJ1461</t>
  </si>
  <si>
    <t>Conduct of life.,Ethics.,Will.</t>
  </si>
  <si>
    <t>Davenport, John J.</t>
  </si>
  <si>
    <t>Gazing Through a Prism Darkly</t>
  </si>
  <si>
    <t>Reflections on Merold Westphal's Hermeneutical Epistemology</t>
  </si>
  <si>
    <t>PHILOSOPHY / Epistemology</t>
  </si>
  <si>
    <t>BT50</t>
  </si>
  <si>
    <t>Hermeneutics--Religious aspects--Christianity.,Knowledge, Theory of (Religion),Philosophical theology.</t>
  </si>
  <si>
    <t>Putt, B. Keith</t>
  </si>
  <si>
    <t>Regard for the Other</t>
  </si>
  <si>
    <t>Autothanatography in Rousseau, De Quincey, Baudelaire, and Wilde</t>
  </si>
  <si>
    <t>PN452 .B87 2009eb</t>
  </si>
  <si>
    <t>Authors--Biography--History and criticism.,Autobiography.,Death in literature.,Identity (Psychology) in literature.,Other (Philosophy) in literature.,Self in literature.</t>
  </si>
  <si>
    <t>Burt, E. S.</t>
  </si>
  <si>
    <t>A Time for the Humanities</t>
  </si>
  <si>
    <t>Futurity and the Limits of Autonomy</t>
  </si>
  <si>
    <t>EDUCATION / Educational Policy &amp; Reform / General</t>
  </si>
  <si>
    <t>AZ103</t>
  </si>
  <si>
    <t>Autonomy.,Civilization, Modern--21st century--Forecasting.,Geopolitics--Forecasting.,Humanities--Forecasting.,Humanities--Philosophy.,Humanities--Social aspects.,Social change--Forecasting.</t>
  </si>
  <si>
    <t>Ziarek, Ewa PÅ‚onowska-Dean, Tim-Bono, James J.</t>
  </si>
  <si>
    <t>The Intellectual Origins of the Global Financial Crisis</t>
  </si>
  <si>
    <t>HB3717 2008 .I63 2012</t>
  </si>
  <si>
    <t>Economics--Philosophy.,Financial crises--Philosophy.,Global Financial Crisis, 2008-2009.</t>
  </si>
  <si>
    <t>Berkowitz, Roger.-Toay, Taun N.-Berkowitz, Roger</t>
  </si>
  <si>
    <t>Trials of Arab Modernity</t>
  </si>
  <si>
    <t>Literary Affects and the New Political</t>
  </si>
  <si>
    <t>LITERARY CRITICISM / Middle Eastern</t>
  </si>
  <si>
    <t>PJ7538 .E43 2013</t>
  </si>
  <si>
    <t>Arabic literature--20th century--History and criticism.,Arabic literature--21st century--History and criticism.,Literature, Experimental--Arab countries--History and criticism.,Modernism (Literature)--Arab countries.</t>
  </si>
  <si>
    <t>El-Ariss, Tarek</t>
  </si>
  <si>
    <t>Listen</t>
  </si>
  <si>
    <t>A History of Our Ears</t>
  </si>
  <si>
    <t>ML3800 .S9613 2008</t>
  </si>
  <si>
    <t>Musical criticism.,Music--History and criticism.,Music--Philosophy and aesthetics.</t>
  </si>
  <si>
    <t>Szendy, Peter-Mandell, Charlotte-Nancy, Jean-Luc</t>
  </si>
  <si>
    <t>The Crane's Walk</t>
  </si>
  <si>
    <t>Plato, Pluralism, and the Inconstancy of Truth</t>
  </si>
  <si>
    <t>PHILOSOPHY / History &amp; Surveys / Ancient &amp; Classical</t>
  </si>
  <si>
    <t>BD171 .B26 2009</t>
  </si>
  <si>
    <t>Certainty.,Pluralism.,Truth.</t>
  </si>
  <si>
    <t>Barris, Jeremy</t>
  </si>
  <si>
    <t>What Is Talmud?</t>
  </si>
  <si>
    <t>The Art of Disagreement</t>
  </si>
  <si>
    <t>RELIGION / Judaism / Talmud</t>
  </si>
  <si>
    <t>BM503.6 .D65 2009eb</t>
  </si>
  <si>
    <t>Reasoning.,Rhetoric.</t>
  </si>
  <si>
    <t>DolgopolÊ¹skiiÌ†, S. B.</t>
  </si>
  <si>
    <t>The Pleasures of Memory</t>
  </si>
  <si>
    <t>Learning to Read with Charles Dickens</t>
  </si>
  <si>
    <t>PR4588 .W56 2011eb</t>
  </si>
  <si>
    <t>Books and reading--History--19th century.,Books and reading--Psychological aspects.,Collective memory and literature.</t>
  </si>
  <si>
    <t>Winter, Sarah.</t>
  </si>
  <si>
    <t>Tropical Medicine</t>
  </si>
  <si>
    <t>A Clinical Text, 8th Edition, Revised and Expanded</t>
  </si>
  <si>
    <t>MEDICAL / Tropical Medicine</t>
  </si>
  <si>
    <t>RC961 .C22 2011eb</t>
  </si>
  <si>
    <t>Tropical medicine.</t>
  </si>
  <si>
    <t>Cahill, Kevin M.</t>
  </si>
  <si>
    <t>International Humanitarian Affairs</t>
  </si>
  <si>
    <t>The Fall of Sleep</t>
  </si>
  <si>
    <t>BF1071 .N3513 2009eb</t>
  </si>
  <si>
    <t>Sleep--Psychological aspects.</t>
  </si>
  <si>
    <t>Nancy, Jean-Luc-Mandell, Charlotte</t>
  </si>
  <si>
    <t>The Creative Retrieval of Saint Thomas Aquinas</t>
  </si>
  <si>
    <t>Essays in Thomistic Philosophy, New and Old</t>
  </si>
  <si>
    <t>RELIGION / Christianity / Catholic</t>
  </si>
  <si>
    <t>B765.T54 C525 2009eb</t>
  </si>
  <si>
    <t>Clarke, W. Norris</t>
  </si>
  <si>
    <t>Rethinking Media Pluralism</t>
  </si>
  <si>
    <t>P95.82.E85 K37 2012eb</t>
  </si>
  <si>
    <t>Mass media policy--Political aspects--Europe.,Mass media--Political aspects--Europe.,Multiculturalism--Europe.</t>
  </si>
  <si>
    <t>Karppinen, Kari.</t>
  </si>
  <si>
    <t>Donald McGannon Communication Research Center's Everett C. Parker Book Series</t>
  </si>
  <si>
    <t>Let It Shine!</t>
  </si>
  <si>
    <t>The Emergence of African American Catholic Worship</t>
  </si>
  <si>
    <t>BX1407.N4 M337 2008</t>
  </si>
  <si>
    <t>African American Catholics--Religious life.</t>
  </si>
  <si>
    <t>McGann, Mary E.-Lumas, Eva Marie.-Harbor, Ronald D.</t>
  </si>
  <si>
    <t>Neighbors and Missionaries</t>
  </si>
  <si>
    <t>A History of the Sisters of Our Lady of Christian Doctrine</t>
  </si>
  <si>
    <t>RELIGION / Christian Ministry / Missions</t>
  </si>
  <si>
    <t>BX4485.64 .M36 2012eb</t>
  </si>
  <si>
    <t>McGuinness, Margaret M.</t>
  </si>
  <si>
    <t>Dangerous Citizens</t>
  </si>
  <si>
    <t>The Greek Left and the Terror of the State</t>
  </si>
  <si>
    <t>SOCIAL SCIENCE / Anthropology / Cultural &amp; Social</t>
  </si>
  <si>
    <t>DF949 .P36 2009</t>
  </si>
  <si>
    <t>Political persecution--Greece--History--20th century.</t>
  </si>
  <si>
    <t>PanourgiaÌ, Neni</t>
  </si>
  <si>
    <t>Musically Sublime</t>
  </si>
  <si>
    <t>Indeterminacy, Infinity, Irresolvability</t>
  </si>
  <si>
    <t>ML3877 .B75 2009</t>
  </si>
  <si>
    <t>Sublime, The, in music.</t>
  </si>
  <si>
    <t>Brillenburg Wurth, Kiene</t>
  </si>
  <si>
    <t>New York's Golden Age of Bridges</t>
  </si>
  <si>
    <t>Empire State Editions</t>
  </si>
  <si>
    <t>ART / American / General</t>
  </si>
  <si>
    <t>ND237.M2555 A4 2012</t>
  </si>
  <si>
    <t>Bridges in art.,Bridges--New York (State)--New York.</t>
  </si>
  <si>
    <t>Masi, Antonio.-Dim, Joan Marans</t>
  </si>
  <si>
    <t>Targets of Opportunity</t>
  </si>
  <si>
    <t>On the Militarization of Thinking</t>
  </si>
  <si>
    <t>B105.W3 W43 2005</t>
  </si>
  <si>
    <t>Philosophy.,Psychoanalysis and philosophy.,War (Philosophy)</t>
  </si>
  <si>
    <t>Weber, Samuel</t>
  </si>
  <si>
    <t>Victor Herbert</t>
  </si>
  <si>
    <t>A Theatrical Life</t>
  </si>
  <si>
    <t>MUSIC / Individual Composer &amp; Musician</t>
  </si>
  <si>
    <t>ML410.H52 G68 2008</t>
  </si>
  <si>
    <t>Composers--United States--Biography.</t>
  </si>
  <si>
    <t>Gould, Neil</t>
  </si>
  <si>
    <t>The Chinese Written Character As a Medium for Poetry</t>
  </si>
  <si>
    <t>A Critical Edition</t>
  </si>
  <si>
    <t>PL1171 .F39 2008</t>
  </si>
  <si>
    <t>Chinese language--Writing.,Chinese poetry--History and criticism.,Grammar, Comparative and general.</t>
  </si>
  <si>
    <t>Fenollosa, Ernest-Stalling, Jonathan-Klein, Lucas-Pound, Ezra-Saussy, Haun</t>
  </si>
  <si>
    <t>Forgetting Lot's Wife</t>
  </si>
  <si>
    <t>On Destructive Spectatorship</t>
  </si>
  <si>
    <t>BF774 .H37 2007eb</t>
  </si>
  <si>
    <t>Audiences--Psychology.,Influence (Psychology),Memory.,Recollection (Psychology),Spectators--Psychology.,Suffering.,Violence.</t>
  </si>
  <si>
    <t>Harries, Martin.</t>
  </si>
  <si>
    <t>The Unpolitical</t>
  </si>
  <si>
    <t>On the Radical Critique of Political Reason</t>
  </si>
  <si>
    <t>JA71 .C23 2009eb</t>
  </si>
  <si>
    <t>Political science--Philosophy.</t>
  </si>
  <si>
    <t>Cacciari, Massimo.-Carrera, Alessandro</t>
  </si>
  <si>
    <t>Bob Drinan</t>
  </si>
  <si>
    <t>The Controversial Life of the First Catholic Priest Elected to Congress</t>
  </si>
  <si>
    <t>E840.8.D75 S37 2011</t>
  </si>
  <si>
    <t>Legislators--United States--Biography.</t>
  </si>
  <si>
    <t>Schroth, Raymond A.</t>
  </si>
  <si>
    <t>Race Questions, Provincialism, and Other American Problems</t>
  </si>
  <si>
    <t>Expanded Edition</t>
  </si>
  <si>
    <t>E168 .R89 2009eb</t>
  </si>
  <si>
    <t>Cultural pluralism--United States.</t>
  </si>
  <si>
    <t>Royce, Josiah-Sullivan, Shannon-Pratt, Scott L.</t>
  </si>
  <si>
    <t>American Philosophy Series</t>
  </si>
  <si>
    <t>Communications Research in Action</t>
  </si>
  <si>
    <t>Scholar-Activist Collaborations for a Democratic Public Sphere</t>
  </si>
  <si>
    <t>P95.8 .C645 2011eb</t>
  </si>
  <si>
    <t>Communication policy.,Communication--Social aspects.,Mass media policy.</t>
  </si>
  <si>
    <t>Aslama, Minna-Napoli, Philip M.</t>
  </si>
  <si>
    <t>Cathedrals of Bone</t>
  </si>
  <si>
    <t>The Role of the Body in Contemporary Catholic Literature</t>
  </si>
  <si>
    <t>PS153.C3 W36 2009eb</t>
  </si>
  <si>
    <t>American literature--20th century--History and criticism.,American literature--Catholic authors--History and criticism.,Christianity and literature--United States--History--20th century.,Human body in literature.,Human body--Religious aspects.</t>
  </si>
  <si>
    <t>Waldmeir, John Christian</t>
  </si>
  <si>
    <t>Medieval Education</t>
  </si>
  <si>
    <t>HISTORY / Europe / Medieval</t>
  </si>
  <si>
    <t>LA91 .M43 2005eb</t>
  </si>
  <si>
    <t>Education, Medieval--History.,Education.</t>
  </si>
  <si>
    <t>Begley, Ronald B.-Koterski, Joseph W.</t>
  </si>
  <si>
    <t>Fordham Series in Medieval Studies</t>
  </si>
  <si>
    <t>A Scholar's Tale</t>
  </si>
  <si>
    <t>Intellectual Journey of a Displaced Child of Europe</t>
  </si>
  <si>
    <t>PN75.H33 A3 2007eb</t>
  </si>
  <si>
    <t>Critics--United States--Biography.</t>
  </si>
  <si>
    <t>Hartman, Geoffrey H.</t>
  </si>
  <si>
    <t>Yes, But Not Quite</t>
  </si>
  <si>
    <t>Encountering Josiah Royce's Ethico-Religious Insight</t>
  </si>
  <si>
    <t>B945.R64 T86 2009</t>
  </si>
  <si>
    <t>Ethics.,Idealism.,Metaphysics.,Personalism.,Religion.</t>
  </si>
  <si>
    <t>Tunstall, Dwayne A.</t>
  </si>
  <si>
    <t>The Reinvention of Religious Music</t>
  </si>
  <si>
    <t>Olivier Messiaen's Breakthrough Toward the Beyond</t>
  </si>
  <si>
    <t>ML410.M595 M34 2009eb</t>
  </si>
  <si>
    <t>Music--Religious aspects.</t>
  </si>
  <si>
    <t>Maas, Sander van</t>
  </si>
  <si>
    <t>John Dewey Between Pragmatism and Constructivism</t>
  </si>
  <si>
    <t>PHILOSOPHY / Movements / Pragmatism</t>
  </si>
  <si>
    <t>B945.D44</t>
  </si>
  <si>
    <t>Constructivism (Philosophy),Pragmatism.</t>
  </si>
  <si>
    <t>Reich, Kersten.-Neubert, Stefan.-Hickman, Larry A.</t>
  </si>
  <si>
    <t>Musical Meaning and Human Values</t>
  </si>
  <si>
    <t>ML193 .M88 2009</t>
  </si>
  <si>
    <t>Music--History and criticism.,Music--Philosophy and aesthetics.</t>
  </si>
  <si>
    <t>Kramer, Lawrence-Chapin, Keith Moore.</t>
  </si>
  <si>
    <t>Hollow Men</t>
  </si>
  <si>
    <t>Writing, Objects, and Public Image in Renaissance Italy</t>
  </si>
  <si>
    <t>LITERARY CRITICISM / Renaissance</t>
  </si>
  <si>
    <t>PQ4075</t>
  </si>
  <si>
    <t>Art, Renaissance--Italy--History.,Italian language--Early modern, 1500-1700.,Italian literature--15th century--History and criticism.,Italian literature--To 1400--History and criticism.,Masculinity in art.,Masculinity in literature.,Renaissance--Italy.</t>
  </si>
  <si>
    <t>Gaylard, Susan</t>
  </si>
  <si>
    <t>Nietzsche's Animal Philosophy</t>
  </si>
  <si>
    <t>Culture, Politics, and the Animality of the Human Being</t>
  </si>
  <si>
    <t>B3317</t>
  </si>
  <si>
    <t>Animals (Philosophy),Philosophical anthropology.</t>
  </si>
  <si>
    <t>Lemm, Vanessa.</t>
  </si>
  <si>
    <t>The Seeds of Things</t>
  </si>
  <si>
    <t>Theorizing Sexuality and Materiality in Renaissance Representations</t>
  </si>
  <si>
    <t>PR428.S48 G65 2009</t>
  </si>
  <si>
    <t>English literature--Early modern, 1500-1700--History and criticism.,Material culture in literature.,Philosophy in literature.,Sex in literature.</t>
  </si>
  <si>
    <t>Goldberg, Jonathan</t>
  </si>
  <si>
    <t>Deserter Country</t>
  </si>
  <si>
    <t>Civil War Opposition in the Pennsylvania Appalachians</t>
  </si>
  <si>
    <t>HISTORY / United States / Civil War Period (1850-1877)</t>
  </si>
  <si>
    <t>F153 .S24 2009</t>
  </si>
  <si>
    <t>Appalachians (People)--Pennsylvania--History--19th century.,Appalachians (People)--Pennsylvania--Politics and government--19th century.</t>
  </si>
  <si>
    <t>Sandow, Robert M.</t>
  </si>
  <si>
    <t>The North's Civil War</t>
  </si>
  <si>
    <t>Migration and Integration in Europe, Southeast Asia, and Australia</t>
  </si>
  <si>
    <t>JV6035</t>
  </si>
  <si>
    <t>Emigration and immigration.,Emigration and immigration--Cross-cultural studies.,Social integration.</t>
  </si>
  <si>
    <t>Pietsch, Juliet.-Clark, Marshall Alexander.</t>
  </si>
  <si>
    <t>Global Asia</t>
  </si>
  <si>
    <t>Farocki/Godard</t>
  </si>
  <si>
    <t>PN1998.3.F365 P3613 2015eb</t>
  </si>
  <si>
    <t>Motion picture producers and directors.</t>
  </si>
  <si>
    <t>Pantenburg, Volker</t>
  </si>
  <si>
    <t>IKKM Books</t>
  </si>
  <si>
    <t>Digital Passages</t>
  </si>
  <si>
    <t>Migrant Youth 2.0</t>
  </si>
  <si>
    <t>P94.5.M552 L48 2015eb</t>
  </si>
  <si>
    <t>Internet--Social aspects--Netherlands.,Minorities in mass media.,Moroccans--Netherlands--Social life and customs.,Youth--Netherlands--Social life and customs.</t>
  </si>
  <si>
    <t>Leurs, Koen</t>
  </si>
  <si>
    <t>MediaMatters</t>
  </si>
  <si>
    <t>Controversies in Intensive Care Medicine</t>
  </si>
  <si>
    <t>MWV Medizinisch Wissenschaftliche Verlagsgesellschaft mbH &amp; Co. KG</t>
  </si>
  <si>
    <t>MEDICAL / General</t>
  </si>
  <si>
    <t>RC86.7 .C668 2008eb</t>
  </si>
  <si>
    <t>Critical care medicine.</t>
  </si>
  <si>
    <t>Kuhlen, R.-European Society of Intensive Care Medicine.-Abate, M. G.</t>
  </si>
  <si>
    <t>Data Management for Researchers</t>
  </si>
  <si>
    <t>Organize, Maintain and Share Your Data for Research Success</t>
  </si>
  <si>
    <t>Pelagic Publishing</t>
  </si>
  <si>
    <t>QA76.8.M3 .B384 2015</t>
  </si>
  <si>
    <t>Data centers--Management.,Electronic data processing.,Information storage and retrieval systems.,Research--Information services.</t>
  </si>
  <si>
    <t>Briney, Kristin</t>
  </si>
  <si>
    <t>Research Skills Series</t>
  </si>
  <si>
    <t>Community Ecology</t>
  </si>
  <si>
    <t>Analytical Methods Using R and Excel</t>
  </si>
  <si>
    <t>SCIENCE / Life Sciences / Ecology</t>
  </si>
  <si>
    <t>QA276 .G384 2014</t>
  </si>
  <si>
    <t>Biotic communities--Research--Methodology.,Electronic spreadsheets--Computer programs.,R (Computer program language)--Statistical methods.</t>
  </si>
  <si>
    <t>Gardener, Mark</t>
  </si>
  <si>
    <t>Data in the Wild Series</t>
  </si>
  <si>
    <t>Managing Data Using Excel</t>
  </si>
  <si>
    <t>HF5548.4.M523 .G384 2015</t>
  </si>
  <si>
    <t>Electronic spreadsheets--Computer programs.,Science--Data processing.</t>
  </si>
  <si>
    <t>Gardener, Mark.</t>
  </si>
  <si>
    <t>Del ocaso al amanecer</t>
  </si>
  <si>
    <t>Arte de los siglos XIV al XVII</t>
  </si>
  <si>
    <t>ARCHITECTURE / General</t>
  </si>
  <si>
    <t>PQ7519.3 .M575 D45 2015</t>
  </si>
  <si>
    <t>Art, Baroque--History.,Art, Medieval.,Art, Renaissance.</t>
  </si>
  <si>
    <t>Checa, Liliana.-Dextre, Sergio.-Villacorta, Luis.</t>
  </si>
  <si>
    <t>The Dependent Organisation</t>
  </si>
  <si>
    <t>PSYCHOLOGY / Social Psychology</t>
  </si>
  <si>
    <t>HD58.7</t>
  </si>
  <si>
    <t>Corporate culture.,Employee motivation.,Organizational behavior.,Organizational effectiveness.</t>
  </si>
  <si>
    <t>Wilkinson, Peter</t>
  </si>
  <si>
    <t>The Resilient Director</t>
  </si>
  <si>
    <t>HD2745</t>
  </si>
  <si>
    <t>Boards of directors.,Corporate governance.,Directors of corporations.,Leadership.</t>
  </si>
  <si>
    <t>Willis, Michael-O'Rourke, Tony-Fass, Michael</t>
  </si>
  <si>
    <t>It Takes Guts</t>
  </si>
  <si>
    <t>A Story of Love, Hope and a Missing Bowel</t>
  </si>
  <si>
    <t>Panoma Press</t>
  </si>
  <si>
    <t>FAMILY &amp; RELATIONSHIPS / Children with Special Needs</t>
  </si>
  <si>
    <t>RJ456.S57</t>
  </si>
  <si>
    <t>Critically ill children--Rehabilitation.,Intestines--Abnormalities.</t>
  </si>
  <si>
    <t>Brink, Evelyne</t>
  </si>
  <si>
    <t>The Person and the Situation</t>
  </si>
  <si>
    <t>Perspectives of Social Psychology</t>
  </si>
  <si>
    <t>Pinter &amp; Martin</t>
  </si>
  <si>
    <t>HM251</t>
  </si>
  <si>
    <t>Personality and situation.,Social psychology.</t>
  </si>
  <si>
    <t>Ross, Lee.-Nisbett, Richard.-Gladwell, Malcolm.</t>
  </si>
  <si>
    <t>Science for Life</t>
  </si>
  <si>
    <t>A Manual for Better Living</t>
  </si>
  <si>
    <t>Icon Books Ltd</t>
  </si>
  <si>
    <t>SCIENCE / Life Sciences / General</t>
  </si>
  <si>
    <t>Q175.5 .C55 2015</t>
  </si>
  <si>
    <t>Science--Social aspects.</t>
  </si>
  <si>
    <t>Clegg, Brian</t>
  </si>
  <si>
    <t>Jack &amp; Jill</t>
  </si>
  <si>
    <t>The Story of Jonathan Irwin</t>
  </si>
  <si>
    <t>HQ767.9</t>
  </si>
  <si>
    <t>Brain damage--Biography.,Brain-damaged children--Family relationships.,Fathers and sons--Ireland.</t>
  </si>
  <si>
    <t>Irwin, Jonathan.</t>
  </si>
  <si>
    <t>The Irish Citizen Army</t>
  </si>
  <si>
    <t>DA960 .M38 2014</t>
  </si>
  <si>
    <t>Matthews, Ann.</t>
  </si>
  <si>
    <t>Nicaragua Handbook, 5th Edition</t>
  </si>
  <si>
    <t>Footprint Travel Guides</t>
  </si>
  <si>
    <t>TRAVEL / Central America</t>
  </si>
  <si>
    <t>F1523</t>
  </si>
  <si>
    <t>Arghiris, Richard.</t>
  </si>
  <si>
    <t>Footprint Handbooks</t>
  </si>
  <si>
    <t>MÃ¡laga &amp; Costa Del Sol, 2nd Edition</t>
  </si>
  <si>
    <t>Includes Antequera, Nerja, Marbella, Ronda, La AxarquÃ­a</t>
  </si>
  <si>
    <t>TRAVEL / Europe / Spain &amp; Portugal</t>
  </si>
  <si>
    <t>DP302.M25 S96 2014eb</t>
  </si>
  <si>
    <t>Symington, Andy.</t>
  </si>
  <si>
    <t>Footprint Focus</t>
  </si>
  <si>
    <t>Bilbao &amp; Basque Region, 2nd Edition</t>
  </si>
  <si>
    <t>Includes Laguardia, Gernika, Vitoria, Lekeito, San SebastiÃ¡n</t>
  </si>
  <si>
    <t>DP302.B45</t>
  </si>
  <si>
    <t>Symington, Andy</t>
  </si>
  <si>
    <t>How to Write Everything</t>
  </si>
  <si>
    <t>LANGUAGE ARTS &amp; DISCIPLINES / Writing / General</t>
  </si>
  <si>
    <t>PN145 .Q36 2014</t>
  </si>
  <si>
    <t>Authorship.,Creative writing.</t>
  </si>
  <si>
    <t>Quantick, David-Appleby, Steven.</t>
  </si>
  <si>
    <t>The Home Rule Crisis 1912â€“14</t>
  </si>
  <si>
    <t>DA960 .H65 2014</t>
  </si>
  <si>
    <t>Home rule--Ireland--History--20th century--Congresses.</t>
  </si>
  <si>
    <t>Doherty, Gabriel</t>
  </si>
  <si>
    <t>Cork Studies in the Irish Revolution</t>
  </si>
  <si>
    <t>The 1916 Diaries of an Irish Rebel and a British Soldier</t>
  </si>
  <si>
    <t>DA960 .O46 2014eb</t>
  </si>
  <si>
    <t>O'Farrell, Mick</t>
  </si>
  <si>
    <t>Big Maggie</t>
  </si>
  <si>
    <t>Schools Edition with Notes by Eilis Flanagan</t>
  </si>
  <si>
    <t>PR6061.E2 B54 2014eb</t>
  </si>
  <si>
    <t>Keane, John B.</t>
  </si>
  <si>
    <t>Ireland and Germany: Partners in European Recovery (dual Language)</t>
  </si>
  <si>
    <t>Oak Tree Press</t>
  </si>
  <si>
    <t>BUSINESS &amp; ECONOMICS / International / Economics</t>
  </si>
  <si>
    <t>HF1540.5.G3 I74 2014</t>
  </si>
  <si>
    <t>Financial crises--Europe.</t>
  </si>
  <si>
    <t>Lissek, Ralf-Coleman, Marc</t>
  </si>
  <si>
    <t>Briathar Ã DhÃ©anamh As AnÃ¡il: FilÃ­ocht Chomhaimseartha Na GÃºisearÃ¡itise</t>
  </si>
  <si>
    <t>Original Writing</t>
  </si>
  <si>
    <t>ART / Subjects &amp; Themes / Plants &amp; Animals</t>
  </si>
  <si>
    <t>PR6021.I35 .B753 2014eb</t>
  </si>
  <si>
    <t>gle</t>
  </si>
  <si>
    <t>Rosenstock, Gabriel-JhaveriÌ„, DiliÌ„pa-OÌ hAodha, MiÌcheaÌl</t>
  </si>
  <si>
    <t>Researching the Recognition of Prior Learning</t>
  </si>
  <si>
    <t>International Perspectives</t>
  </si>
  <si>
    <t>National Institute of Adult Continuing Education</t>
  </si>
  <si>
    <t>EDUCATION / Adult &amp; Continuing Education</t>
  </si>
  <si>
    <t>LC5225.R47 R47 2011</t>
  </si>
  <si>
    <t>Adult education--Research.,College credits--Outside work--Research.,Experiential learning--Research.,Non-formal education--Research.</t>
  </si>
  <si>
    <t>Harris, Judy-Breier, Mignonne.-Wihak, Christine.</t>
  </si>
  <si>
    <t>Lifelong Learning and Social Justice</t>
  </si>
  <si>
    <t>Communities, Work and Identities in a Globalised World</t>
  </si>
  <si>
    <t>LC5225.S64</t>
  </si>
  <si>
    <t>Adult education.,Continuing education.,Social justice.</t>
  </si>
  <si>
    <t>Aberton, Helen-National Institute of Adult Continuing Education (England and Wales)-Jackson, Sue</t>
  </si>
  <si>
    <t>More Powerful Literacies</t>
  </si>
  <si>
    <t>LC149 .M674 2012</t>
  </si>
  <si>
    <t>Literacy.,Literacy--Social aspects.</t>
  </si>
  <si>
    <t>Tett, Lyn-National Institute of Adult Continuing Education (England and Wales)-Hamilton, Mary-Crowther, Jim.</t>
  </si>
  <si>
    <t>Dea Loher: Three Plays</t>
  </si>
  <si>
    <t>PT2672.O36 A2 2014</t>
  </si>
  <si>
    <t>Loher, Dea-Tushingham, David</t>
  </si>
  <si>
    <t>What We Did to Weinstein</t>
  </si>
  <si>
    <t>PR6103.R352</t>
  </si>
  <si>
    <t>Arab-Israeli conflict--Drama.,Jewish-Arab relations--Drama.</t>
  </si>
  <si>
    <t>Craig, Ryan</t>
  </si>
  <si>
    <t>Bacchai</t>
  </si>
  <si>
    <t>PA3975.B2</t>
  </si>
  <si>
    <t>Bacchantes--Drama.</t>
  </si>
  <si>
    <t>Euripides.-Teevan, Colin.</t>
  </si>
  <si>
    <t>In the Club</t>
  </si>
  <si>
    <t>PR6052.E18</t>
  </si>
  <si>
    <t>English farces.,Legislators--Drama.,Political plays, English.</t>
  </si>
  <si>
    <t>Bean, Richard-hoopla digital.</t>
  </si>
  <si>
    <t>Eisteddfod</t>
  </si>
  <si>
    <t>PR6052.A66592 E38 2012</t>
  </si>
  <si>
    <t>Families--Drama.,Family secrets--Drama.</t>
  </si>
  <si>
    <t>Barnes, Luke</t>
  </si>
  <si>
    <t>Kalashnikov: In the Woods by the Lake</t>
  </si>
  <si>
    <t>PR6057.R22</t>
  </si>
  <si>
    <t>Grace, Fraser.-hoopla digital.</t>
  </si>
  <si>
    <t>The Trojan Women</t>
  </si>
  <si>
    <t>PR6102.I73 T75 2012</t>
  </si>
  <si>
    <t>Bird, Caroline-Euripides.</t>
  </si>
  <si>
    <t>Oscar Wilde: Three Plays for Children</t>
  </si>
  <si>
    <t>PR6053.L35 O83 2012eb</t>
  </si>
  <si>
    <t>Children's plays, English.</t>
  </si>
  <si>
    <t>Wilde, Oscar-Clarke, Phil</t>
  </si>
  <si>
    <t>The Second Mrs Tanqueray</t>
  </si>
  <si>
    <t>PR5182 .S6 2012</t>
  </si>
  <si>
    <t>Marriage--Drama.,Prostitutes--England--Drama.,Prostitutes--England--Public opinion--Drama.,Prostitutes--Great Britain--Social conditions--19th century--Drama.,Upper class--England--Drama.,Women--Great Britain--Social conditions--19th century--Drama.</t>
  </si>
  <si>
    <t>Pinero, Arthur Wing</t>
  </si>
  <si>
    <t>Oliver Lansley: Les Enfants Terribles; Collected Plays</t>
  </si>
  <si>
    <t>PR6112.A57</t>
  </si>
  <si>
    <t>Lansley, Oliver.</t>
  </si>
  <si>
    <t>Burn and Rosalind</t>
  </si>
  <si>
    <t>PR6107.E27 B87 2006x</t>
  </si>
  <si>
    <t>DNA--Research--Drama.,Teenagers--Drama.,Women scientists--Drama.</t>
  </si>
  <si>
    <t>Gearing, Deborah.</t>
  </si>
  <si>
    <t>Oberon Plays for Young People</t>
  </si>
  <si>
    <t>Horse Piss for Blood</t>
  </si>
  <si>
    <t>PR6107.R576 H67 2012</t>
  </si>
  <si>
    <t>Families--Drama.,Paranoia--Drama.</t>
  </si>
  <si>
    <t>Grose, Carl</t>
  </si>
  <si>
    <t>Roadkill</t>
  </si>
  <si>
    <t>PR6119.M585 R63 2011</t>
  </si>
  <si>
    <t>Child sexual abuse--Drama.,Human trafficking victims--Drama.,Procuresses--Drama.</t>
  </si>
  <si>
    <t>Smith, Stef.-Bissett, Cora.</t>
  </si>
  <si>
    <t>Portraits</t>
  </si>
  <si>
    <t>PR6015.O524 P67 2011</t>
  </si>
  <si>
    <t>Portrait painters--Great Britain--Biography--Drama.</t>
  </si>
  <si>
    <t>Home, William Douglas.</t>
  </si>
  <si>
    <t>One Man, Two Guvnors</t>
  </si>
  <si>
    <t>PR6052.E18 O54 2011</t>
  </si>
  <si>
    <t>Master and servant--Drama.</t>
  </si>
  <si>
    <t>Bean, Richard-Goldoni, Carlo</t>
  </si>
  <si>
    <t>Masters Are You Mad? The Search For Malvolio</t>
  </si>
  <si>
    <t>The Search for Malvolio</t>
  </si>
  <si>
    <t>PR6063.A869 M37 2012eb</t>
  </si>
  <si>
    <t>Malvolio (Fictitious character : Shakespeare)--Drama.</t>
  </si>
  <si>
    <t>Maxwell, Glyn</t>
  </si>
  <si>
    <t>The School for Wives</t>
  </si>
  <si>
    <t>PQ1832.E3 E53 2012</t>
  </si>
  <si>
    <t>French drama--17th century--Translations into English.</t>
  </si>
  <si>
    <t>MolieÌ€re-Bolt, Ranjit</t>
  </si>
  <si>
    <t>Boguslaw Schaeffer: An Anthology</t>
  </si>
  <si>
    <t>PG7178.C33 A2 2012</t>
  </si>
  <si>
    <t>Polish drama--20th century.</t>
  </si>
  <si>
    <t>SchaÌˆffer, BogusÅ‚aw.-Romanska, Magda.</t>
  </si>
  <si>
    <t>The Phoenix of Madrid</t>
  </si>
  <si>
    <t>PQ6292.A53 B67 2011</t>
  </si>
  <si>
    <t>Spanish drama--Classical period, 1500-1700.</t>
  </si>
  <si>
    <t>CalderoÌn de la Barca, Pedro-Boswell, Laurence.</t>
  </si>
  <si>
    <t>The English Game</t>
  </si>
  <si>
    <t>PR6052.E18 E44 2012</t>
  </si>
  <si>
    <t>Cricket players--Drama.</t>
  </si>
  <si>
    <t>Bean, Richard</t>
  </si>
  <si>
    <t>Remembrance Day</t>
  </si>
  <si>
    <t>PG3493.44.C48 R46 2011</t>
  </si>
  <si>
    <t>Political activists--Latvia--Drama.,Russian drama--Foreign authors--Translations into English.,World War, 1939-1945--Veterans--Latvia--Drama.</t>
  </si>
  <si>
    <t>Scherbak, Aleksey.-Mullarkey, Rory.</t>
  </si>
  <si>
    <t>Wesker's Comedies</t>
  </si>
  <si>
    <t>PR6073.E75 A88 2012</t>
  </si>
  <si>
    <t>English drama--20th century.</t>
  </si>
  <si>
    <t>Wesker, Arnold</t>
  </si>
  <si>
    <t>Holly and Ivan's Christmas Adventure</t>
  </si>
  <si>
    <t>Children's plays, English.,Christmas plays, English.</t>
  </si>
  <si>
    <t>The Free State: A South African Response to Chekhov's The Cherry Orchard</t>
  </si>
  <si>
    <t>A South African Response to ChekhovÂ’s The Cherry Orchard</t>
  </si>
  <si>
    <t>PR9369.3.S86</t>
  </si>
  <si>
    <t>South African drama (English)</t>
  </si>
  <si>
    <t>Suzman, Janet.</t>
  </si>
  <si>
    <t>The Handy Nutrition Answer Book</t>
  </si>
  <si>
    <t>COOKING / Reference</t>
  </si>
  <si>
    <t>TX355 .B365 2015eb</t>
  </si>
  <si>
    <t>Nutrition--Miscellanea.</t>
  </si>
  <si>
    <t>Barnes-Svarney, Patricia L.-Svarney, Thomas E.</t>
  </si>
  <si>
    <t>The Journey</t>
  </si>
  <si>
    <t>LITERARY COLLECTIONS / Diaries &amp; Journals</t>
  </si>
  <si>
    <t>PQ7298.26.I8</t>
  </si>
  <si>
    <t>Travelers--Russia--Fiction.</t>
  </si>
  <si>
    <t>Pitol, Sergio-Henson, George</t>
  </si>
  <si>
    <t>Getting to Grey Owl</t>
  </si>
  <si>
    <t>Journeys on Four Continents</t>
  </si>
  <si>
    <t>PS3603.A893</t>
  </si>
  <si>
    <t>Meaning (Psychology),Travel--Psychological aspects.</t>
  </si>
  <si>
    <t>Caswell, Kurt</t>
  </si>
  <si>
    <t>Drone Warfare</t>
  </si>
  <si>
    <t>The Development of Unmanned Aerial Conflict</t>
  </si>
  <si>
    <t>HISTORY / Military / Aviation</t>
  </si>
  <si>
    <t>UG1242.D7</t>
  </si>
  <si>
    <t>Drone aircraft.</t>
  </si>
  <si>
    <t>Sloggett, Dave.</t>
  </si>
  <si>
    <t>The General and the Genius</t>
  </si>
  <si>
    <t>Groves and Oppenheimer ? The Unlikely Partnership That Built the Atom Bomb</t>
  </si>
  <si>
    <t>BIOGRAPHY &amp; AUTOBIOGRAPHY / Military</t>
  </si>
  <si>
    <t>QC773.A1</t>
  </si>
  <si>
    <t>Atomic bomb--New Mexico--Los Alamos--History.,Generals--United States--Biography.,Military engineers--United States--Biography.,Physicists--United States--Biography.</t>
  </si>
  <si>
    <t>Kunetka, James W.</t>
  </si>
  <si>
    <t>Intelligent Life</t>
  </si>
  <si>
    <t>Buddhist Psychology of Self-Transformation</t>
  </si>
  <si>
    <t>RELIGION / Buddhism / Zen</t>
  </si>
  <si>
    <t>BQ7494 .Y64513 2015eb</t>
  </si>
  <si>
    <t>Vijn~aptimaÂ¯trataÂ¯.,YogaÂ¯caÂ¯ra (Buddhism)</t>
  </si>
  <si>
    <t>Yokoyama, KoÌ„ichi</t>
  </si>
  <si>
    <t>The Arab Spring Five Years Later</t>
  </si>
  <si>
    <t>Toward Great Inclusiveness</t>
  </si>
  <si>
    <t>POLITICAL SCIENCE / Political Economy</t>
  </si>
  <si>
    <t>JQ1850.A91</t>
  </si>
  <si>
    <t>Arab Spring, 2010-</t>
  </si>
  <si>
    <t>Ghanem, Hafez</t>
  </si>
  <si>
    <t>The Body of the Artisan</t>
  </si>
  <si>
    <t>Art and Experience in the Scientific Revolution</t>
  </si>
  <si>
    <t>SCIENCE / General</t>
  </si>
  <si>
    <t>N72.S3</t>
  </si>
  <si>
    <t>Art and science--History--16th century.,Art and science--History--17th century.</t>
  </si>
  <si>
    <t>Smith, Pamela H.</t>
  </si>
  <si>
    <t>ACLS Humanities E-Book</t>
  </si>
  <si>
    <t>Alfonso X, the Learned</t>
  </si>
  <si>
    <t>Cantigas De Santa Maria: An Anthology</t>
  </si>
  <si>
    <t>PQ9189.A44</t>
  </si>
  <si>
    <t>Alfonso-Parkinson, Stephen</t>
  </si>
  <si>
    <t>MHRA Critical Texts</t>
  </si>
  <si>
    <t>Harvest</t>
  </si>
  <si>
    <t>PR6052.E18 H37 2012</t>
  </si>
  <si>
    <t>Farm ownership--Drama.,Wagers--Drama.</t>
  </si>
  <si>
    <t>Gilgamesh</t>
  </si>
  <si>
    <t>PJ3771.G5</t>
  </si>
  <si>
    <t>Epic poetry, Assyro-Babylonian--Adaptations.</t>
  </si>
  <si>
    <t>Hines, Derrek</t>
  </si>
  <si>
    <t>I Am The Wind</t>
  </si>
  <si>
    <t>PT8951.16.O73 E413 2012</t>
  </si>
  <si>
    <t>Boaters (Persons)--Drama.,Social distance--Drama.</t>
  </si>
  <si>
    <t>Fosse, Jon-Stephens, Simon</t>
  </si>
  <si>
    <t>The Shit / La Merda</t>
  </si>
  <si>
    <t>PQ4903.E73 S55 2013</t>
  </si>
  <si>
    <t>Italian drama.</t>
  </si>
  <si>
    <t>Ceresoli, Cristian</t>
  </si>
  <si>
    <t>Queer Voices</t>
  </si>
  <si>
    <t>PR6052.A7543 Q4 2012eb</t>
  </si>
  <si>
    <t>Dramatic monologues.</t>
  </si>
  <si>
    <t>Bartlett, Neil.</t>
  </si>
  <si>
    <t>Autobiographer</t>
  </si>
  <si>
    <t>PR6123.I5733 A98 2012</t>
  </si>
  <si>
    <t>Dementia--Patients--Drama.,Reminiscing in old age--Drama.,Women--Drama.</t>
  </si>
  <si>
    <t>Wilson, Melanie</t>
  </si>
  <si>
    <t>Shylock Play</t>
  </si>
  <si>
    <t>PR6066.A745 S594 2007</t>
  </si>
  <si>
    <t>Antisemitism--Drama.,Jews--Identity--Drama.,Jews--Italy--Venice--Social conditions--Drama.</t>
  </si>
  <si>
    <t>Pascal, Julia.</t>
  </si>
  <si>
    <t>Fry: Plays Three (The Firstborn, A Phoenix Too Frequent, A Sleep of Prisoners, Thor, With Angels, The Boy With a Cart, Caedmon Construed and A Ringing of Bells)</t>
  </si>
  <si>
    <t>PR6011.R9 A6 2007</t>
  </si>
  <si>
    <t>Fry, Christopher</t>
  </si>
  <si>
    <t>The Glass Room</t>
  </si>
  <si>
    <t>PR6103.R352 .G5 2012</t>
  </si>
  <si>
    <t>Holocaust denial--Drama.</t>
  </si>
  <si>
    <t>Keep Smiling Through</t>
  </si>
  <si>
    <t>PR6055.V193</t>
  </si>
  <si>
    <t>Families--England--Drama.,World War, 1939-1945--England--Drama.</t>
  </si>
  <si>
    <t>Evans, Lisa.</t>
  </si>
  <si>
    <t>Just Adrian</t>
  </si>
  <si>
    <t>PR6063.I77 Z46 2012</t>
  </si>
  <si>
    <t>Theater--Great Britain--History--20th century--Sources.,Theater--Miscellanea.</t>
  </si>
  <si>
    <t>Mitchell, Adrian-Mitchell, Celia-Cohen, Daniel</t>
  </si>
  <si>
    <t>Oberon Masters</t>
  </si>
  <si>
    <t>Fry: Plays Two (Venus Observed; The Dark Is Light Enough; Curtmantle)</t>
  </si>
  <si>
    <t>Twist of Gold</t>
  </si>
  <si>
    <t>PR6118.E23 T88 2012eb</t>
  </si>
  <si>
    <t>Families--Drama.</t>
  </si>
  <si>
    <t>Reade, Simon.-Morpurgo, Michael.</t>
  </si>
  <si>
    <t>Muswell Hill</t>
  </si>
  <si>
    <t>PR6052.E85 M87 2012</t>
  </si>
  <si>
    <t>Haiti Earthquake, Haiti, 2010--Drama.</t>
  </si>
  <si>
    <t>Betts, Torben.</t>
  </si>
  <si>
    <t>Sha-Manic Plays:Black Mas, Iceman, False Hairpiece, Dead Man's Handle</t>
  </si>
  <si>
    <t>PR6053.O508 S48 1997x</t>
  </si>
  <si>
    <t>Constable, John-Constable, John.</t>
  </si>
  <si>
    <t>Modern Playwrights</t>
  </si>
  <si>
    <t>The Ugly Spirit</t>
  </si>
  <si>
    <t>PR6102.A772 U38 2012</t>
  </si>
  <si>
    <t>Psychology--Drama.</t>
  </si>
  <si>
    <t>Barr, Russell.</t>
  </si>
  <si>
    <t>Behzti (Dishonour)</t>
  </si>
  <si>
    <t>PR6102.H38 B48 2004</t>
  </si>
  <si>
    <t>East Indians--England--Drama.,Man-woman relationships--England--Drama.,Mothers and daughters--England--Drama.,Overweight women--England--Drama.</t>
  </si>
  <si>
    <t>Bhatti, Gurpreet Kaur.-Birmingham Repertory Theatre.</t>
  </si>
  <si>
    <t>Mirror Teeth</t>
  </si>
  <si>
    <t>PR6107.I455 M57 2011</t>
  </si>
  <si>
    <t>Families--England--Drama.,Illegal arms transfers--Drama.,Racism--England--Drama.</t>
  </si>
  <si>
    <t>Gill, N. W.</t>
  </si>
  <si>
    <t>The Role of the Critic</t>
  </si>
  <si>
    <t>PERFORMING ARTS / Acting &amp; Auditioning</t>
  </si>
  <si>
    <t>PN1707 .D76 2012eb</t>
  </si>
  <si>
    <t>Theater critics.</t>
  </si>
  <si>
    <t>Dromgoole, Nicholas.</t>
  </si>
  <si>
    <t>Barker: Plays Five</t>
  </si>
  <si>
    <t>PR6052.A6485 A6 2012eb</t>
  </si>
  <si>
    <t>English drama.,Executions and executioners--Drama.,Mind and body--Drama.,Murder--Drama.,Prophets--Drama.</t>
  </si>
  <si>
    <t>Barker, Howard.</t>
  </si>
  <si>
    <t>Wondrous Flitting</t>
  </si>
  <si>
    <t>PR6120.H666 W66 2011</t>
  </si>
  <si>
    <t>Loreto, Our Lady of--Drama.</t>
  </si>
  <si>
    <t>Thomson, Mark</t>
  </si>
  <si>
    <t>May the Farce Be With You</t>
  </si>
  <si>
    <t>PN1942 .F68 2012</t>
  </si>
  <si>
    <t>Farce.</t>
  </si>
  <si>
    <t>Foss, Roger</t>
  </si>
  <si>
    <t>The Well &amp; Badly Loved</t>
  </si>
  <si>
    <t>A Queer Trilogy</t>
  </si>
  <si>
    <t>PR6123.E225 W45 2012</t>
  </si>
  <si>
    <t>Gay men--Drama.</t>
  </si>
  <si>
    <t>Webb, Ben.</t>
  </si>
  <si>
    <t>Grand Guignol</t>
  </si>
  <si>
    <t>PR6107.R576</t>
  </si>
  <si>
    <t>Deep Heat: Encounters with the Famous, the Infamous and the Unknown</t>
  </si>
  <si>
    <t>Encounters with the Famous, the Infamous, and the Unknown</t>
  </si>
  <si>
    <t>PR6119.O26 D44 2011</t>
  </si>
  <si>
    <t>Monologues.</t>
  </si>
  <si>
    <t>Soans, Robin</t>
  </si>
  <si>
    <t>The Heretic</t>
  </si>
  <si>
    <t>PR6052.E18 H47 2011</t>
  </si>
  <si>
    <t>College teachers--Drama.,Global warming--Drama.</t>
  </si>
  <si>
    <t>Bean, Richard-Royal Court Theatre.</t>
  </si>
  <si>
    <t>RAM: The Abduction of Sita Into Darkness</t>
  </si>
  <si>
    <t>PR9369.4.F37 R36 2011</t>
  </si>
  <si>
    <t>Hindu mythology in literature.,Hinduism in literature.</t>
  </si>
  <si>
    <t>Farber, Yael.</t>
  </si>
  <si>
    <t>Shakespeare's Advice to the Players</t>
  </si>
  <si>
    <t>PR3091 .H334 2012eb</t>
  </si>
  <si>
    <t>Acting.,Drama--Technique.</t>
  </si>
  <si>
    <t>Hall, Peter.</t>
  </si>
  <si>
    <t>The Sound of Musicals</t>
  </si>
  <si>
    <t>MUSIC / Genres &amp; Styles / Musicals</t>
  </si>
  <si>
    <t>ML2054 .L45 2010eb</t>
  </si>
  <si>
    <t>Musicals--United States--History and criticism.</t>
  </si>
  <si>
    <t>Leon, Ruth</t>
  </si>
  <si>
    <t>Lullabies of Broadmoor: A Broadmoor Quartet</t>
  </si>
  <si>
    <t>PR6108.E56 L8 2011</t>
  </si>
  <si>
    <t>Murder victims--Drama.,Psychiatric hospital patients--England--Crowthorne--Drama.,Tragicomedy.</t>
  </si>
  <si>
    <t>Hennessy, Steve.</t>
  </si>
  <si>
    <t>For the Reckord: A Collection of Three Plays by Barry Reckord</t>
  </si>
  <si>
    <t>PR9265.9.R35 F67 2012eb</t>
  </si>
  <si>
    <t>Schools--Drama.</t>
  </si>
  <si>
    <t>Reckord, Barry.</t>
  </si>
  <si>
    <t>Monkey Bars</t>
  </si>
  <si>
    <t>PR6057.O536 M66 2012</t>
  </si>
  <si>
    <t>Children--Quotations.</t>
  </si>
  <si>
    <t>Goode, Chris</t>
  </si>
  <si>
    <t>A Walk in the Woods</t>
  </si>
  <si>
    <t>PS3552.L43 W28 2011</t>
  </si>
  <si>
    <t>Cold War--Drama.,Friendship--Drama.,Nuclear arms control--Drama.</t>
  </si>
  <si>
    <t>Blessing, Lee.</t>
  </si>
  <si>
    <t>Irish Blood, English Heart</t>
  </si>
  <si>
    <t>PR6113.U7668</t>
  </si>
  <si>
    <t>Murphy, Darren.-hoopla digital.</t>
  </si>
  <si>
    <t>Blackberry Trout Face</t>
  </si>
  <si>
    <t>PR6123.I573</t>
  </si>
  <si>
    <t>Families--Drama.,Loyalty--Drama.</t>
  </si>
  <si>
    <t>Wilson, Laurence.</t>
  </si>
  <si>
    <t>Morpurgo: War Plays</t>
  </si>
  <si>
    <t>PR6118.E24 M6 2012eb</t>
  </si>
  <si>
    <t>War--History--20th century--Drama.</t>
  </si>
  <si>
    <t>Morpurgo, Michael.-Reade, Simon.</t>
  </si>
  <si>
    <t>Lungs</t>
  </si>
  <si>
    <t>PR6113.A268</t>
  </si>
  <si>
    <t>Man-woman relationships--Drama.,Parenting--Drama.</t>
  </si>
  <si>
    <t>Macmillan, Duncan</t>
  </si>
  <si>
    <t>Cool Hand Luke</t>
  </si>
  <si>
    <t>PR6118.E58 C66 2011</t>
  </si>
  <si>
    <t>Reeves, Emma.-Pearce, Donn.</t>
  </si>
  <si>
    <t>Paradise Lost</t>
  </si>
  <si>
    <t>PR6116.O953</t>
  </si>
  <si>
    <t>Devil--Drama.</t>
  </si>
  <si>
    <t>Power, Ben.-Milton, John</t>
  </si>
  <si>
    <t>Double Nugget</t>
  </si>
  <si>
    <t>PR6113.C495</t>
  </si>
  <si>
    <t>McKnight, Johnny-McKnight, Johnny.-Random Accomplice.</t>
  </si>
  <si>
    <t>A Style and Its Origins</t>
  </si>
  <si>
    <t>PR6052.A6485</t>
  </si>
  <si>
    <t>Dramatists, English--20th century--Biography.,Theater--Production and direction.</t>
  </si>
  <si>
    <t>The Vampire Trilogy</t>
  </si>
  <si>
    <t>PR6066.I5 V36 2011</t>
  </si>
  <si>
    <t>Lesbian vampires--Drama.,Vampires--Drama.</t>
  </si>
  <si>
    <t>Pinner, David</t>
  </si>
  <si>
    <t>The Oberon Anthology of Contemporary American Plays: Volume One</t>
  </si>
  <si>
    <t>PS634.2 O24 2012eb</t>
  </si>
  <si>
    <t>American drama--21st century.</t>
  </si>
  <si>
    <t>Subias, Mark.-Doran, Bathsheba.-Eno, Will-Moses, Itamar-Schwartz, Jenny</t>
  </si>
  <si>
    <t>The Oberon Anthology of Contemporary American Plays</t>
  </si>
  <si>
    <t>Khadija Is 18</t>
  </si>
  <si>
    <t>PR6119.I55 K43 2012</t>
  </si>
  <si>
    <t>Minority teenagers--Drama.</t>
  </si>
  <si>
    <t>Sinha, Shamser.</t>
  </si>
  <si>
    <t>Barker: Plays Four</t>
  </si>
  <si>
    <t>PR6052.A6485 A6 2008</t>
  </si>
  <si>
    <t>The Most Humane Way to Kill A Lobster</t>
  </si>
  <si>
    <t>PR6113.A268 M67 2011</t>
  </si>
  <si>
    <t>Missing children--Drama.,Mothers and daughters--Drama.</t>
  </si>
  <si>
    <t>Sports Play</t>
  </si>
  <si>
    <t>PT2670.E46 S65 2012</t>
  </si>
  <si>
    <t>Athletes--Drama.,Sports--Sociological aspects--Drama.</t>
  </si>
  <si>
    <t>Jelinek, Elfriede-Black, Penny.</t>
  </si>
  <si>
    <t>PR6063.O683 A15 2011eb</t>
  </si>
  <si>
    <t>Alzheimer's disease--Drama.,Nuns--Drama.,Religion and science--Drama.</t>
  </si>
  <si>
    <t>Morgan, Abi</t>
  </si>
  <si>
    <t>Blackthorn / In the Pipeline</t>
  </si>
  <si>
    <t>PR6115.W46 B43 2010</t>
  </si>
  <si>
    <t>Owen, Gary</t>
  </si>
  <si>
    <t>Guantanamo (Honor Bound to Defend Freedom)</t>
  </si>
  <si>
    <t>Honor Bound to Defend Freedom</t>
  </si>
  <si>
    <t>PR6102.R58</t>
  </si>
  <si>
    <t>War on Terrorism, 2001-2009--Drama.</t>
  </si>
  <si>
    <t>Brittain, Victoria.-Slovo, Gillian.</t>
  </si>
  <si>
    <t>The Art of Translation</t>
  </si>
  <si>
    <t>PN241 .B5765 2012eb</t>
  </si>
  <si>
    <t>Literature--Translations--History and criticism.,Translating and interpreting.</t>
  </si>
  <si>
    <t>Bolt, Ranjit.</t>
  </si>
  <si>
    <t>[Oberon Masters]</t>
  </si>
  <si>
    <t>Bean Plays One: The Mentalists; Under the Whaleback; The God Botherers</t>
  </si>
  <si>
    <t>PR6052.E18 A6 2005</t>
  </si>
  <si>
    <t>Bud Take the Wheel, I Feel a Song Coming On</t>
  </si>
  <si>
    <t>PR6102.R43 B82 2011</t>
  </si>
  <si>
    <t>Brennan, Clara.</t>
  </si>
  <si>
    <t>Bodies Unfinished</t>
  </si>
  <si>
    <t>PR6108.E84 B62 2012</t>
  </si>
  <si>
    <t>Hetherington, Lewis</t>
  </si>
  <si>
    <t>The Suprise of Love</t>
  </si>
  <si>
    <t>PQ2003.S4 E5 2011</t>
  </si>
  <si>
    <t>Marivaux, Pierre Carlet de Chamblain de-Alfreds, Mike</t>
  </si>
  <si>
    <t>Happy Savages</t>
  </si>
  <si>
    <t>PR6103.R352 H37 2012</t>
  </si>
  <si>
    <t>Couples--Drama.,Happiness--Drama.</t>
  </si>
  <si>
    <t>Oh, to Be in England</t>
  </si>
  <si>
    <t>PR6066.I5 O38 2011</t>
  </si>
  <si>
    <t>A Marvellous Year for Plums</t>
  </si>
  <si>
    <t>PR6073.H577 M3 2012x</t>
  </si>
  <si>
    <t>Whitemore, Hugh.</t>
  </si>
  <si>
    <t>Blink</t>
  </si>
  <si>
    <t>PR6116.O78 B58 2012</t>
  </si>
  <si>
    <t>Man-woman relationships--Drama.,Romance fiction.</t>
  </si>
  <si>
    <t>Porter, Phil.</t>
  </si>
  <si>
    <t>The God Botherers</t>
  </si>
  <si>
    <t>Volunteer workers in community development--Fiction.</t>
  </si>
  <si>
    <t>Bean, Richard.</t>
  </si>
  <si>
    <t>To Set Prometheus Free: Essays on Religion, Reason and Humanity</t>
  </si>
  <si>
    <t>RELIGION / Atheism</t>
  </si>
  <si>
    <t>BL2775.3</t>
  </si>
  <si>
    <t>Atheism.</t>
  </si>
  <si>
    <t>Grayling, A. C.</t>
  </si>
  <si>
    <t>Merlin and the Woods of Time</t>
  </si>
  <si>
    <t>PR6063.A869 M47 2011</t>
  </si>
  <si>
    <t>King Arthur's Round Table--Drama.,Time--Drama.</t>
  </si>
  <si>
    <t>An English Ballet</t>
  </si>
  <si>
    <t>A Tribute to Ninette De Valois</t>
  </si>
  <si>
    <t>PERFORMING ARTS / Dance / Classical &amp; Ballet</t>
  </si>
  <si>
    <t>GV1785.D4 E54 2011</t>
  </si>
  <si>
    <t>Ballet--Great Britain.,Dancers--Great Britain--Biography.</t>
  </si>
  <si>
    <t>Gayle, David</t>
  </si>
  <si>
    <t>Mr England</t>
  </si>
  <si>
    <t>Male employees--England--Drama.,Middle managers--England--Drama.</t>
  </si>
  <si>
    <t>Flies</t>
  </si>
  <si>
    <t>PR6112.A57 F58 2011</t>
  </si>
  <si>
    <t>Flies--Drama.</t>
  </si>
  <si>
    <t>PR6115.S78 M37 2005</t>
  </si>
  <si>
    <t>Oswald, Peter-Schiller, Friedrich</t>
  </si>
  <si>
    <t>Siamese Twins</t>
  </si>
  <si>
    <t>PQ7797.G253 S513 2011</t>
  </si>
  <si>
    <t>Argentine drama--20th century--Translations into English.</t>
  </si>
  <si>
    <t>Gambaro, Griselda.-MacKeith, Gwen.</t>
  </si>
  <si>
    <t>After the End</t>
  </si>
  <si>
    <t>PR6111.E497</t>
  </si>
  <si>
    <t>Man-woman relationships--England--Drama.</t>
  </si>
  <si>
    <t>Kelly, Dennis.</t>
  </si>
  <si>
    <t>Mixed Company:Three Early Jamaican Plays</t>
  </si>
  <si>
    <t>Three Early Jamaican Plays</t>
  </si>
  <si>
    <t>PR9265.7 .M59 2012eb</t>
  </si>
  <si>
    <t>Jamaican drama--20th century.</t>
  </si>
  <si>
    <t>Brewster, Yvonne.-Wynter, Sylvia.-Marriott, Louis-Waite-Smith, Cicely.</t>
  </si>
  <si>
    <t>Belongings</t>
  </si>
  <si>
    <t>PR6113.A43 B4 2011</t>
  </si>
  <si>
    <t>Man-woman relationships--Drama.,Parent and child--Drama.,Women soldiers--Drama.</t>
  </si>
  <si>
    <t>Malcolm, Morgan Lloyd.</t>
  </si>
  <si>
    <t>Our Class</t>
  </si>
  <si>
    <t>PG7219.L63</t>
  </si>
  <si>
    <t>Antisemitism--Poland--Drama.,English drama--20th century.,Jews--Poland--Drama.</t>
  </si>
  <si>
    <t>SÅ‚obodzianek, Tadeusz-Grosvenor, Catherine-Craig, Ryan.</t>
  </si>
  <si>
    <t>The Joy of Misery: Four One-Act Plays</t>
  </si>
  <si>
    <t>Four One-Act Plays</t>
  </si>
  <si>
    <t>PR6066.I5 J69 2012eb</t>
  </si>
  <si>
    <t>Therese Raquin</t>
  </si>
  <si>
    <t>PQ2521.T4</t>
  </si>
  <si>
    <t>French drama--19th century--Translations into English.</t>
  </si>
  <si>
    <t>Zola, EÌmile-Broughton, Pip</t>
  </si>
  <si>
    <t>The Oberon Book of Modern Monologues for Women: Volume Two</t>
  </si>
  <si>
    <t>PN2080 .O24 2013</t>
  </si>
  <si>
    <t>Acting--Auditions.,Monologues.,Women--Drama.</t>
  </si>
  <si>
    <t>Weate, Catherine.</t>
  </si>
  <si>
    <t>The Oberon Book of Modern Monologues for Women</t>
  </si>
  <si>
    <t>Lot and His God</t>
  </si>
  <si>
    <t>PR6102.A</t>
  </si>
  <si>
    <t>Barker, Howard-Print Room (London, England)</t>
  </si>
  <si>
    <t>The Fence in Its Thousandth Year</t>
  </si>
  <si>
    <t>PR6052.A718 B37 2012</t>
  </si>
  <si>
    <t>Pam Gems: Plays One</t>
  </si>
  <si>
    <t>PR6057.E515 A6 2012</t>
  </si>
  <si>
    <t>Gems, Pam.</t>
  </si>
  <si>
    <t>The Fear of Breathing: Stories From the Syrian Revolution</t>
  </si>
  <si>
    <t>Stories From the Syrian Revolution</t>
  </si>
  <si>
    <t>PR6119.H476 F43 2012</t>
  </si>
  <si>
    <t>Sherlock, Ruth.-Lafferty, Zoe.-Wood, Paul.</t>
  </si>
  <si>
    <t>Electra</t>
  </si>
  <si>
    <t>PT4415.7</t>
  </si>
  <si>
    <t>Greek drama (Tragedy)</t>
  </si>
  <si>
    <t>Payne, Nick.</t>
  </si>
  <si>
    <t>Luckham: Plays</t>
  </si>
  <si>
    <t>PR6062.U23 P5 2013</t>
  </si>
  <si>
    <t>Historical drama, English.</t>
  </si>
  <si>
    <t>Luckham, Claire.</t>
  </si>
  <si>
    <t>The Holy Rosenbergs</t>
  </si>
  <si>
    <t>PR6103.R352 H65 2011</t>
  </si>
  <si>
    <t>Arab-Israeli conflict--Drama.</t>
  </si>
  <si>
    <t>The Summer House</t>
  </si>
  <si>
    <t>PR6101.D3654 S86 2012</t>
  </si>
  <si>
    <t>Comedy--drama.</t>
  </si>
  <si>
    <t>Adamsdale, Will</t>
  </si>
  <si>
    <t>Tom Jones</t>
  </si>
  <si>
    <t>PR6065.S18 T65 2013</t>
  </si>
  <si>
    <t>Foundlings--Drama.,Identity (Psychology)--Drama.,Motion picture plays.</t>
  </si>
  <si>
    <t>Osborne, John-Fielding, Henry</t>
  </si>
  <si>
    <t>The Ecstatic Bible</t>
  </si>
  <si>
    <t>Hidden God--Drama.,Priests--Drama.</t>
  </si>
  <si>
    <t>The Big Fellah</t>
  </si>
  <si>
    <t>Irish drama--New York (State)--New York.</t>
  </si>
  <si>
    <t>Dennis Kelly: Plays Two</t>
  </si>
  <si>
    <t>PR6111.E497 A6 2013eb</t>
  </si>
  <si>
    <t>Kelly, Dennis</t>
  </si>
  <si>
    <t>The Kreutzer Sonata</t>
  </si>
  <si>
    <t>PR6108.A766</t>
  </si>
  <si>
    <t>Arts and society--Drama.,Marriage--Drama.</t>
  </si>
  <si>
    <t>Harris, Nancy-Tolstoy, Leo-hoopla digital.</t>
  </si>
  <si>
    <t>Fanta Orange</t>
  </si>
  <si>
    <t>PR6123.O52786 F36 2011</t>
  </si>
  <si>
    <t>HIV infections--Kenya--Drama.,Rape--Kenya--Drama.</t>
  </si>
  <si>
    <t>Woodcock, Sally</t>
  </si>
  <si>
    <t>The Snow Queen</t>
  </si>
  <si>
    <t>PR6063.I77 S66 1998eb</t>
  </si>
  <si>
    <t>Friendship--Drama.,Snow Queen (Fictitious character)--Drama.</t>
  </si>
  <si>
    <t>Mitchell, Adrian-Andersen, H. C.</t>
  </si>
  <si>
    <t>Everyday Maps for Everyday Use</t>
  </si>
  <si>
    <t>PR6113.O825 E94 2012</t>
  </si>
  <si>
    <t>Sex--Drama.,Sexual fantasies--Drama.</t>
  </si>
  <si>
    <t>Morton-Smith, Tom.</t>
  </si>
  <si>
    <t>One Man, Two Guvnors (Broadway Edition)</t>
  </si>
  <si>
    <t>U.S. Edition</t>
  </si>
  <si>
    <t>PR6052.E18 O54 2012eb</t>
  </si>
  <si>
    <t>Little Foot</t>
  </si>
  <si>
    <t>PR9369.4.H53 L58 2012</t>
  </si>
  <si>
    <t>Fossil hominids--South Africa--Drama.,Human remains (Archaeology)--South Africa--Drama.,Prehistoric peoples--South Africa--Drama.,South African drama (English)--21st century.</t>
  </si>
  <si>
    <t>Higginson, Craig.</t>
  </si>
  <si>
    <t>Pub Quiz Is Life</t>
  </si>
  <si>
    <t>Contests--Humor.,Questions and answers.</t>
  </si>
  <si>
    <t>Cocteau &amp; Feydeau: Thirteen Monologues</t>
  </si>
  <si>
    <t>PQ2605.O15 A2 2011</t>
  </si>
  <si>
    <t>Monologues, French--Translations into English.</t>
  </si>
  <si>
    <t>Cocteau, Jean-Feydeau, Georges-Meyer, Peter</t>
  </si>
  <si>
    <t>Before Anger - Two Early Plays: The Devil Inside Him &amp; Personal Enemy</t>
  </si>
  <si>
    <t>Two Early Plays by John Osborne</t>
  </si>
  <si>
    <t>PR6065.S18 B336 2009</t>
  </si>
  <si>
    <t>Cold War--Drama.,Families--United States--Drama.,Hypocrisy--Drama.,Villages--Wales--Drama.</t>
  </si>
  <si>
    <t>Osborne, John-Andrews, Jamie</t>
  </si>
  <si>
    <t>Keith Waterhouse: Collected Plays</t>
  </si>
  <si>
    <t>PR6073.A82 A6 2012eb</t>
  </si>
  <si>
    <t>Drama--20th century.</t>
  </si>
  <si>
    <t>Waterhouse, Keith.-Hall, Willis</t>
  </si>
  <si>
    <t>The Prize</t>
  </si>
  <si>
    <t>PR6107.I49 P75 2012</t>
  </si>
  <si>
    <t>Olympic athletes--Fiction.</t>
  </si>
  <si>
    <t>Gilroy, Steve.-Stockwell, Richard.</t>
  </si>
  <si>
    <t>Faust: Parts One and Two</t>
  </si>
  <si>
    <t>PT2026.F2 M2 2012</t>
  </si>
  <si>
    <t>German drama (Tragedy)</t>
  </si>
  <si>
    <t>Goethe, Johann Wolfgang von-MacDonald, Robert David</t>
  </si>
  <si>
    <t>1984 (Nineteen Eighty-Four)</t>
  </si>
  <si>
    <t>PR6109.C44 A62 2014eb</t>
  </si>
  <si>
    <t>Dystopian plays.,Totalitarianism--Drama.</t>
  </si>
  <si>
    <t>Icke, Robert-Macmillan, Duncan-Orwell, George</t>
  </si>
  <si>
    <t>Sometimes I Laugh Like My Sister</t>
  </si>
  <si>
    <t>PR6116.E98 S66 2012</t>
  </si>
  <si>
    <t>Journalists--Drama.,Murder--Drama.,Sisters--Drama.</t>
  </si>
  <si>
    <t>Peyton, Rebecca.-Bartelt, Martin.</t>
  </si>
  <si>
    <t>Dennis Kelly: Plays One</t>
  </si>
  <si>
    <t>Love and Money, Osama the Hero, Debris, After the End</t>
  </si>
  <si>
    <t>PR6111.E497 A6 2012</t>
  </si>
  <si>
    <t>Where the Flowers Grow</t>
  </si>
  <si>
    <t>PR6114.O74 W48 2012</t>
  </si>
  <si>
    <t>Norfolk, Mark.</t>
  </si>
  <si>
    <t>The Incredible Adventures of See Thru Sam</t>
  </si>
  <si>
    <t>PR6113.C495 I63 2012</t>
  </si>
  <si>
    <t>Superheroes--Drama.,Teenagers--Scotland--Drama.</t>
  </si>
  <si>
    <t>McKnight, Johnny-Random Accomplice.</t>
  </si>
  <si>
    <t>Red</t>
  </si>
  <si>
    <t>PS3562.O4472 R43 2012eb</t>
  </si>
  <si>
    <t>Painters--Drama.</t>
  </si>
  <si>
    <t>Logan, John</t>
  </si>
  <si>
    <t>Monkey!</t>
  </si>
  <si>
    <t>PR6070.E34 M66 2012</t>
  </si>
  <si>
    <t>Children's plays, English.,Mythology, Chinese--Juvenile drama.</t>
  </si>
  <si>
    <t>Teevan, Colin-Wu, Cheng'en</t>
  </si>
  <si>
    <t>The Kitchen</t>
  </si>
  <si>
    <t>PR6073.E75 K58 2011</t>
  </si>
  <si>
    <t>English drama.,Restaurants--Employees--Drama.</t>
  </si>
  <si>
    <t>Iphigenia</t>
  </si>
  <si>
    <t>PT2026.I4</t>
  </si>
  <si>
    <t>Goethe, Johann Wolfgang von-Oakes, Meredith.-hoopla digital.</t>
  </si>
  <si>
    <t>Guilty Secret</t>
  </si>
  <si>
    <t>PR6113.O824 G85 2012</t>
  </si>
  <si>
    <t>Kidnapping--Drama.</t>
  </si>
  <si>
    <t>Mortimer-Smith, Roger</t>
  </si>
  <si>
    <t>Wesker on Theatre</t>
  </si>
  <si>
    <t>PN2039 .W47 2012</t>
  </si>
  <si>
    <t>Drama--History and criticism.,Theater--Philosophy.</t>
  </si>
  <si>
    <t>Emil and the Detectives</t>
  </si>
  <si>
    <t>PR6113.I5567 E55 2013eb</t>
  </si>
  <si>
    <t>Detective and mystery stories.</t>
  </si>
  <si>
    <t>Miller, Carl.-KaÌˆstner, Erich</t>
  </si>
  <si>
    <t>Sancho: An Act of Rememberance</t>
  </si>
  <si>
    <t>An Act of Remembrance</t>
  </si>
  <si>
    <t>PR6110.O847 S26 2011</t>
  </si>
  <si>
    <t>Joseph, Paterson.</t>
  </si>
  <si>
    <t>In-Depth Acting</t>
  </si>
  <si>
    <t>PN2061 .C32 2012eb</t>
  </si>
  <si>
    <t>Acting.</t>
  </si>
  <si>
    <t>Cannon, Dee.-Brosnan, Pierce.</t>
  </si>
  <si>
    <t>Dandy Dick</t>
  </si>
  <si>
    <t>PR6112.U825 D36 2012</t>
  </si>
  <si>
    <t>Pinero, Arthur Wing.-Luscombe, Christopher.</t>
  </si>
  <si>
    <t>A Few Man Fridays</t>
  </si>
  <si>
    <t>PR6110.A24 F49 2012</t>
  </si>
  <si>
    <t>Refugees--British Indian Ocean Territory--Drama.</t>
  </si>
  <si>
    <t>Jackson, Adrian</t>
  </si>
  <si>
    <t>Something Written in the State of Denmark: An Actor's Year with the Royal Shakespeare Company</t>
  </si>
  <si>
    <t>An Actor's Year with the Royal Shakespeare Company</t>
  </si>
  <si>
    <t>PN2598.O6 A3 2012</t>
  </si>
  <si>
    <t>Shakespearean actors and actresses--Great Britain--Blogs.,Shakespearean actors and actresses--Performances--Great Britain.</t>
  </si>
  <si>
    <t>Osborn, Keith.</t>
  </si>
  <si>
    <t>Kneehigh Anthology: Volume 1</t>
  </si>
  <si>
    <t>The Bacchae, The Wooden Frock, The Red Shoes</t>
  </si>
  <si>
    <t>PR6111.N44 A6 2013eb</t>
  </si>
  <si>
    <t>Grose, Carl-Murphy, Anna Maria-Rice, Emma-Morris, Tom</t>
  </si>
  <si>
    <t>The Kneehigh Anthology</t>
  </si>
  <si>
    <t>Third Floor</t>
  </si>
  <si>
    <t>PR9199.4.H3562377 T48 2011</t>
  </si>
  <si>
    <t>Apartment dwellers--Drama.</t>
  </si>
  <si>
    <t>Hall, Jason.</t>
  </si>
  <si>
    <t>Wesker's Historical Plays</t>
  </si>
  <si>
    <t>PR6073.E75 A6 2012</t>
  </si>
  <si>
    <t>Historical drama.</t>
  </si>
  <si>
    <t>After Troy</t>
  </si>
  <si>
    <t>PR6063.A869 M39 2011</t>
  </si>
  <si>
    <t>Trojan War--Drama.</t>
  </si>
  <si>
    <t>Behind the Curtain: The Job of Acting</t>
  </si>
  <si>
    <t>PN2061 .B57 2012eb</t>
  </si>
  <si>
    <t>Bowles, Peter</t>
  </si>
  <si>
    <t>Fuente Ovejuna / Lost in a Mirror</t>
  </si>
  <si>
    <t>PQ6459 .A2 2012</t>
  </si>
  <si>
    <t>Vega, Lope de-Mitchell, Adrian</t>
  </si>
  <si>
    <t>Modern Voice: Working with Actors on Contemporary Text</t>
  </si>
  <si>
    <t>Working with Actors on Contemporary Text</t>
  </si>
  <si>
    <t>PN2061 .W43 2012eb</t>
  </si>
  <si>
    <t>Acting.,Voice culture.</t>
  </si>
  <si>
    <t>Carrie's War</t>
  </si>
  <si>
    <t>PZ7.B33</t>
  </si>
  <si>
    <t>Bawden, Nina.-Reeves, Emma.</t>
  </si>
  <si>
    <t>We're Gonna Make You Whole</t>
  </si>
  <si>
    <t>PR6122.A59 W47 2011</t>
  </si>
  <si>
    <t>Political plays, English.</t>
  </si>
  <si>
    <t>Van Wilt, Yasmine.</t>
  </si>
  <si>
    <t>Tim Crouch: Plays One</t>
  </si>
  <si>
    <t>PR6103.R67 P58 2012eb</t>
  </si>
  <si>
    <t>Crouch, Tim</t>
  </si>
  <si>
    <t>A Butcher of Distinction</t>
  </si>
  <si>
    <t>PR6108.A9673 B88 2011</t>
  </si>
  <si>
    <t>Fathers and sons--Drama.</t>
  </si>
  <si>
    <t>Hayes, Rob.-Cock Tavern Theatre.</t>
  </si>
  <si>
    <t>Michael Abbensetts: Four Plays</t>
  </si>
  <si>
    <t>PR6051.B24 F68 2001</t>
  </si>
  <si>
    <t>Caribbean drama (English),Marriage--Drama.</t>
  </si>
  <si>
    <t>Abbensetts, Michael.</t>
  </si>
  <si>
    <t>The Kingdom</t>
  </si>
  <si>
    <t>PR6070.E34 K56 2012</t>
  </si>
  <si>
    <t>Family secrets--Drama.,Foreign workers, Irish--England--Drama.</t>
  </si>
  <si>
    <t>Teevan, Colin.</t>
  </si>
  <si>
    <t>Cornelius</t>
  </si>
  <si>
    <t>PR6031.R6 C67 2012</t>
  </si>
  <si>
    <t>Maxwell: Plays for Young People</t>
  </si>
  <si>
    <t>PR6113.A98 A6 2012</t>
  </si>
  <si>
    <t>Drama--Collections.,English drama.,Young adult drama, English.</t>
  </si>
  <si>
    <t>Maxwell, Douglas</t>
  </si>
  <si>
    <t>Old Money</t>
  </si>
  <si>
    <t>PR6123.O66 O43 2012</t>
  </si>
  <si>
    <t>Comedy--Drama.,Widowhood--Drama.</t>
  </si>
  <si>
    <t>Wooley, Sarah.</t>
  </si>
  <si>
    <t>Outward Bound</t>
  </si>
  <si>
    <t>PR6043.A5 O8 2012</t>
  </si>
  <si>
    <t>Future life--Drama.,Ocean travel--Drama.</t>
  </si>
  <si>
    <t>Vane, Sutton</t>
  </si>
  <si>
    <t>Against All Gods: Six Polemics on Religion and an Essay on Kindness</t>
  </si>
  <si>
    <t>Six Polemics on Religion and an Essay on Kindness</t>
  </si>
  <si>
    <t>BL2775.3 .G73 2007xeb</t>
  </si>
  <si>
    <t>Atheism.,Religion--Controversial literature.</t>
  </si>
  <si>
    <t>Wesker's Social Plays</t>
  </si>
  <si>
    <t>PR6073.E75 A6 2012eb</t>
  </si>
  <si>
    <t>Barker: Plays Three</t>
  </si>
  <si>
    <t>Golgotha</t>
  </si>
  <si>
    <t>PR6113.A33847 G65 2012</t>
  </si>
  <si>
    <t>East Asians--England--Drama.,Immigrants--England--Social conditions--19th century--Drama.,Immigrants--England--Social conditions--20th century--Drama.</t>
  </si>
  <si>
    <t>Mahindru, Nirjay</t>
  </si>
  <si>
    <t>Dead Hands</t>
  </si>
  <si>
    <t>Bereavement--Psychological aspects--Drama.,Death--Drama.</t>
  </si>
  <si>
    <t>Beachy Head</t>
  </si>
  <si>
    <t>PR6035.E36 B43 2011</t>
  </si>
  <si>
    <t>Suicide victims--Family relationships--Drama.,Suicide--Social aspects--Drama.</t>
  </si>
  <si>
    <t>Rebellato, Dan-Analogue (Theater company)</t>
  </si>
  <si>
    <t>Lovesong</t>
  </si>
  <si>
    <t>PR6063.O683 L68 2011eb</t>
  </si>
  <si>
    <t>Marriage--Drama.</t>
  </si>
  <si>
    <t>Morgan, Abi.-Frantic Assembly (Group)-Drum Theatre Plymouth.-Chichester Festival Theatre.</t>
  </si>
  <si>
    <t>Bunnies</t>
  </si>
  <si>
    <t>PR6112.Y58 P53 2012</t>
  </si>
  <si>
    <t>Farmers--Drama.,Pests--Control--Drama.,Rabbits--Drama.</t>
  </si>
  <si>
    <t>The No Rules Handbook for Writers (know the Rules So You Can Break Them)</t>
  </si>
  <si>
    <t>(Know the Rules So You Can Break Them)</t>
  </si>
  <si>
    <t>PE1408</t>
  </si>
  <si>
    <t>English language--Rhetoric--Handbooks, manuals, etc.</t>
  </si>
  <si>
    <t>Goldman, Lisa.</t>
  </si>
  <si>
    <t>The Hypochondriac</t>
  </si>
  <si>
    <t>PR6063.A219</t>
  </si>
  <si>
    <t>French drama--17th century.,Hypochondria--Drama.</t>
  </si>
  <si>
    <t>Fit and Proper People</t>
  </si>
  <si>
    <t>PR6106.I88 F58 2011</t>
  </si>
  <si>
    <t>Soccer teams--Drama.,Soccer--Management--Drama.,Sports administration--Drama.</t>
  </si>
  <si>
    <t>Fitch, Georgia</t>
  </si>
  <si>
    <t>Seven Angels</t>
  </si>
  <si>
    <t>ML50.S48</t>
  </si>
  <si>
    <t>Operas--Librettos.</t>
  </si>
  <si>
    <t>Our Private Life</t>
  </si>
  <si>
    <t>PQ8180.428.O96 N8413 2011</t>
  </si>
  <si>
    <t>Families--Colombia--Drama.</t>
  </si>
  <si>
    <t>Rozo FloÌrez, Pedro Miguel-Scardifield, Simon</t>
  </si>
  <si>
    <t>Red Plush &amp; Trombones:The Lonely Trilogy</t>
  </si>
  <si>
    <t>PR6054.Y4 R43 2011</t>
  </si>
  <si>
    <t>Dyer, Charles.</t>
  </si>
  <si>
    <t>So Great a Crime</t>
  </si>
  <si>
    <t>PR6107.O54 S6 2012</t>
  </si>
  <si>
    <t>Pedophilia--Drama.,Soldiers--Drama.</t>
  </si>
  <si>
    <t>Gooderson, David.-McPherson, Neil</t>
  </si>
  <si>
    <t>Monsters</t>
  </si>
  <si>
    <t>A Play About the Killing of James Bulger.</t>
  </si>
  <si>
    <t>PT9876.28.A33</t>
  </si>
  <si>
    <t>Children--Crimes against--England--Sefton--Drama.,Juvenile homicide--Drama.,Murder--Investigation--England--Sefton--Drama.,Violence in children--Drama.</t>
  </si>
  <si>
    <t>RaÌŠdstroÌˆm, Niklas.-Berggren, Gabriella.</t>
  </si>
  <si>
    <t>Knight Watch</t>
  </si>
  <si>
    <t>PR6105.L582 K55 2012eb</t>
  </si>
  <si>
    <t>Wah! Wah! Girls</t>
  </si>
  <si>
    <t>A British Bollywood Musical</t>
  </si>
  <si>
    <t>PR6057.U6 W34 2012</t>
  </si>
  <si>
    <t>Asians--England--London--Drama.,Asians--England--London--Ethnic identity--Drama.,Dancers--England--London--Drama.</t>
  </si>
  <si>
    <t>Gupta, Tanika.</t>
  </si>
  <si>
    <t>Sound Theatre: Thoughts on the Radio Play</t>
  </si>
  <si>
    <t>PN1991.73 .P69 2012</t>
  </si>
  <si>
    <t>Radio authorship.,Radio broadcasting--Sound effects--Psychological aspects.,Radio plays--Technique.,Sound in literature.</t>
  </si>
  <si>
    <t>Pownall, David</t>
  </si>
  <si>
    <t>Terence Rattigan: A Biography</t>
  </si>
  <si>
    <t>LITERARY CRITICISM / Drama</t>
  </si>
  <si>
    <t>PR6035.A75 Z972 2009eb</t>
  </si>
  <si>
    <t>Dramatists, English--20th century--Biography.</t>
  </si>
  <si>
    <t>Wansell, Geoffrey</t>
  </si>
  <si>
    <t>Blue Heart Afternoon</t>
  </si>
  <si>
    <t>PR6057.E193 B58 2012</t>
  </si>
  <si>
    <t>Lyricists--Drama.</t>
  </si>
  <si>
    <t>Gearing, Nigel.</t>
  </si>
  <si>
    <t>A Walk On Part: The Fall of New Labour</t>
  </si>
  <si>
    <t>The Fall of New Labour</t>
  </si>
  <si>
    <t>PR6005.H3156 W35 2012</t>
  </si>
  <si>
    <t>Chaplin, Michael.-Mullin, Chris.</t>
  </si>
  <si>
    <t>Mitchell: Plays with Songs</t>
  </si>
  <si>
    <t>PR6063.I77</t>
  </si>
  <si>
    <t>Crusoe, Robinson (Fictitious character)--Drama.,Musical theater--Great Britain--Drama.</t>
  </si>
  <si>
    <t>Mitchell, Adrian</t>
  </si>
  <si>
    <t>The Winter's Tale (Propeller Shakespeare)</t>
  </si>
  <si>
    <t>Propeller Shakespeare</t>
  </si>
  <si>
    <t>PR2839.A2 H35 2012</t>
  </si>
  <si>
    <t>Exile (Punishment)--Drama.,Fathers and daughters--Italy--Sicily--Drama.,Jealousy--Drama.</t>
  </si>
  <si>
    <t>Shakespeare, William-Hall, Edward-Warren, Roger</t>
  </si>
  <si>
    <t>The Bee</t>
  </si>
  <si>
    <t>PR9515.9.N58</t>
  </si>
  <si>
    <t>Revenge--Japan--Tokyo--Drama.</t>
  </si>
  <si>
    <t>Noda, Hideki.-Teevan, Colin.</t>
  </si>
  <si>
    <t>Barker: Plays One</t>
  </si>
  <si>
    <t>Srebrenica</t>
  </si>
  <si>
    <t>PR6061.E64 S73 2013eb</t>
  </si>
  <si>
    <t>War crime trials--Yugoslavia--Drama.,Yugoslav War, 1991-1995--Atrocities--Drama.</t>
  </si>
  <si>
    <t>Kent, Nicolas</t>
  </si>
  <si>
    <t>How to Direct a Play: A Masterclass in Comedy, Tragedy, Farce, Shakespeare, New Plays, Opera and Musicals</t>
  </si>
  <si>
    <t>A Masterclass in Comedy, Tragedy, Farce, Shakespeare, New Plays, Opera and Musicals</t>
  </si>
  <si>
    <t>PERFORMING ARTS / Theater / Direction &amp; Production</t>
  </si>
  <si>
    <t>PN2053 .M87 2012eb</t>
  </si>
  <si>
    <t>Theater--Production and direction.</t>
  </si>
  <si>
    <t>Murray, Braham.</t>
  </si>
  <si>
    <t>Russian Plays</t>
  </si>
  <si>
    <t>PR6053.R355 A6 2011</t>
  </si>
  <si>
    <t>English drama--21st century.,Russian drama--20th century.,Russian drama--20th century--Translations into English.</t>
  </si>
  <si>
    <t>Crane, Richard-Williams, Faynia.-Dostoyevsky, Fyodor-Pushkin, Aleksandr Sergeevich-Bulgakov, Mikhail</t>
  </si>
  <si>
    <t>The Acid Test</t>
  </si>
  <si>
    <t>PR6118.E596 A28 2011</t>
  </si>
  <si>
    <t>Alcohol--Drama.,Female friendship--Drama.</t>
  </si>
  <si>
    <t>Reiss, Anya.</t>
  </si>
  <si>
    <t>Shalom Baby</t>
  </si>
  <si>
    <t>PR6102.E14 S53 2011</t>
  </si>
  <si>
    <t>Interracial marriage--Drama.,Jewish families--Drama.</t>
  </si>
  <si>
    <t>Beadle-Blair, Rikki.</t>
  </si>
  <si>
    <t>Step 9 (of 12)</t>
  </si>
  <si>
    <t>PR6108.A9673 S74 2011</t>
  </si>
  <si>
    <t>Alcoholics--Drama.</t>
  </si>
  <si>
    <t>Hayes, Rob.</t>
  </si>
  <si>
    <t>The Cherry Orchard</t>
  </si>
  <si>
    <t>PG3456.V5 G46 2012</t>
  </si>
  <si>
    <t>Gentry--Russia--Drama.</t>
  </si>
  <si>
    <t>Chekhov, Anton Pavlovich-Gems, Pam.</t>
  </si>
  <si>
    <t>Sabbat</t>
  </si>
  <si>
    <t>PR6119.H36 S23 2012</t>
  </si>
  <si>
    <t>Witchcraft--England--Pendle--History--17th century--Drama.,Witches--Drama.</t>
  </si>
  <si>
    <t>Shannon, Richard</t>
  </si>
  <si>
    <t>Betts: Plays Two</t>
  </si>
  <si>
    <t>PR6052.E85 P553 2001</t>
  </si>
  <si>
    <t>Desire--Drama.,English drama--20th century.,Faith--Drama.,Liberty--Drama.,Wives--Drama.</t>
  </si>
  <si>
    <t>The Firework Maker's Daughter</t>
  </si>
  <si>
    <t>PR6118.U88 F57 2012eb</t>
  </si>
  <si>
    <t>Adventure and adventurers--Juvenile drama.,Elephants--Juvenile drama.,Fireworks--Juvenile drama.,Magic--Juvenile drama.</t>
  </si>
  <si>
    <t>Russell, Stephen-Pullman, Philip</t>
  </si>
  <si>
    <t>The Adventures of Wound Man &amp; Shirley</t>
  </si>
  <si>
    <t>PR6057.O536</t>
  </si>
  <si>
    <t>Imaginary companions--Drama.,Teenage boys--Drama.</t>
  </si>
  <si>
    <t>Goode, Chris.</t>
  </si>
  <si>
    <t>Tanika Gupta: Political Plays</t>
  </si>
  <si>
    <t>PR6057.U6 P65 2012eb</t>
  </si>
  <si>
    <t>Gupta, Tanika.-Sierz, Aleks.</t>
  </si>
  <si>
    <t>The Oberon Anthology of Contemporary Irish Plays: 'This Is Just This. This Isn't Real. Itâ€™s Money.â€™</t>
  </si>
  <si>
    <t>"This Is Just This. This Is Not Real. It's Just Money"</t>
  </si>
  <si>
    <t>PR8869.2 .T48 2012</t>
  </si>
  <si>
    <t>English drama--Irish authors.,Irish drama--21st century.</t>
  </si>
  <si>
    <t>Conway, Thomas</t>
  </si>
  <si>
    <t>Peter Panic</t>
  </si>
  <si>
    <t>PR6102.A345 P48 2012</t>
  </si>
  <si>
    <t>Baldwin, James.</t>
  </si>
  <si>
    <t>They Have Oak Trees in North Carolina</t>
  </si>
  <si>
    <t>PR6123.O66 T47 2012</t>
  </si>
  <si>
    <t>Missing children--Drama.,Parent and adult child--Drama.</t>
  </si>
  <si>
    <t>The Magistrate</t>
  </si>
  <si>
    <t>PR5182 .M21 2012</t>
  </si>
  <si>
    <t>English drama--19th century.,Police magistrates--Great Britain--Drama.</t>
  </si>
  <si>
    <t>Pinero, Arthur Wing-Beresford, Stephen</t>
  </si>
  <si>
    <t>Joy and Tyranny</t>
  </si>
  <si>
    <t>PR6073.E75 J69 2011</t>
  </si>
  <si>
    <t>Wesker's Domestic Plays</t>
  </si>
  <si>
    <t>Domestic drama.</t>
  </si>
  <si>
    <t>2401 Objects</t>
  </si>
  <si>
    <t>PR6102.A76335 A15 2011</t>
  </si>
  <si>
    <t>Amnesia--Drama.,Brain--Surgery--Drama.</t>
  </si>
  <si>
    <t>Barker, Hannah.</t>
  </si>
  <si>
    <t>Street Trilogy</t>
  </si>
  <si>
    <t>Car/Raw/Kid</t>
  </si>
  <si>
    <t>PR6115.C6585</t>
  </si>
  <si>
    <t>Automobile theft--Drama.,English drama--21st century.,Gangs--Drama.</t>
  </si>
  <si>
    <t>O'Connell, Chris</t>
  </si>
  <si>
    <t>Tactical Questioning: Scenes From the Baha Mousa Inquiry</t>
  </si>
  <si>
    <t>PR6064.O78</t>
  </si>
  <si>
    <t>Iraq War, 2003-2011--Prisoners and prisons, British--Drama.,Prisoners--Death--Drama.</t>
  </si>
  <si>
    <t>Norton-Taylor, Richard</t>
  </si>
  <si>
    <t>Winnie the Witch</t>
  </si>
  <si>
    <t>PR6053.L29</t>
  </si>
  <si>
    <t>Winnie the Witch (Fictitious character)--Juvenile drama.,Witches--Juvenile drama.</t>
  </si>
  <si>
    <t>Clark, Anthony-Thomas, ValeÌrie-Birmingham Repertory Theatre.-Paul, Korky</t>
  </si>
  <si>
    <t>Total Football</t>
  </si>
  <si>
    <t>PR6108.A968 T67 2011</t>
  </si>
  <si>
    <t>Soccer--Great Britain--Drama.</t>
  </si>
  <si>
    <t>Haynes, Jon.-Woods, David.-Ridiculusmus (Writers' group)</t>
  </si>
  <si>
    <t>Nineteen Eighty-Four (1984)</t>
  </si>
  <si>
    <t>PR6029.R8</t>
  </si>
  <si>
    <t>Totalitarianism--Fiction.</t>
  </si>
  <si>
    <t>Orwell, George-Dunster, Matthew.</t>
  </si>
  <si>
    <t>Our Brother David</t>
  </si>
  <si>
    <t>PR6053.L29 O97 2012</t>
  </si>
  <si>
    <t>Brothers and sisters--Drama.,Families--Drama.,Family secrets--Drama.</t>
  </si>
  <si>
    <t>Clark, Anthony</t>
  </si>
  <si>
    <t>J.B. Priestley: Plays Three</t>
  </si>
  <si>
    <t>PR6031.R6 T47 2012</t>
  </si>
  <si>
    <t>The Horse's Mouth: How Handspring and the National Theatre Made War Horse</t>
  </si>
  <si>
    <t>How Handspring and the National Theatre Made War Horse</t>
  </si>
  <si>
    <t>PN2053 .M55 2011</t>
  </si>
  <si>
    <t>Animals as represented on the stage.,Puppet making.,Theater--Production and direction.</t>
  </si>
  <si>
    <t>Millar, Mervyn</t>
  </si>
  <si>
    <t>Groupie</t>
  </si>
  <si>
    <t>PR6073.E75 G76 2011</t>
  </si>
  <si>
    <t>Middle-aged persons--Drama.,Painters--Drama.</t>
  </si>
  <si>
    <t>Private Peaceful</t>
  </si>
  <si>
    <t>PZ7.M82712</t>
  </si>
  <si>
    <t>People with mental disabilities--Fiction.,Poverty--Fiction.,Single-parent families--Fiction.,Soldiers--Fiction.,World War, 1914-1918--England--Fiction.</t>
  </si>
  <si>
    <t>I, Cinna (The Poet)</t>
  </si>
  <si>
    <t>PR6103.R67 I4 2012</t>
  </si>
  <si>
    <t>Crouch, Tim.</t>
  </si>
  <si>
    <t>Ladies in Lavender</t>
  </si>
  <si>
    <t>PR6113.C48727 L33 2012</t>
  </si>
  <si>
    <t>Fishing villages--Drama.,Sisters--Drama.</t>
  </si>
  <si>
    <t>McKenna, Shaun-Dance, Charles-Locke, William John</t>
  </si>
  <si>
    <t>A Dish of Tea with Dr Johnson</t>
  </si>
  <si>
    <t>PR6102.A772 D57 2011</t>
  </si>
  <si>
    <t>Barr, Russell-Redford, Ian-Stafford-Clark, Max</t>
  </si>
  <si>
    <t>Catching the Light: Sam Mendes and Simon Russell Beale - A Working Partnership</t>
  </si>
  <si>
    <t>PN2053 .L43 2011eb</t>
  </si>
  <si>
    <t>Leipacher, Mark-Spacey, Kevin</t>
  </si>
  <si>
    <t>Many Moons</t>
  </si>
  <si>
    <t>PR6102.I72 M36 2011eb</t>
  </si>
  <si>
    <t>Love--Drama.</t>
  </si>
  <si>
    <t>Mojisola Adebayo: Plays One</t>
  </si>
  <si>
    <t>PR6101.D43 A6 2011</t>
  </si>
  <si>
    <t>Blacks--Drama.</t>
  </si>
  <si>
    <t>Adebayo, Mojisola-Goddard, Lynette</t>
  </si>
  <si>
    <t>The Dreyfus Affair: A Trilogy</t>
  </si>
  <si>
    <t>A Trilogy</t>
  </si>
  <si>
    <t>PR6073.H98 D74 2010</t>
  </si>
  <si>
    <t>Antisemitism--Drama.,Jews--France--Drama.</t>
  </si>
  <si>
    <t>Whyte, George R.</t>
  </si>
  <si>
    <t>Mr Modernsky: How Stravinsky Survived Schoenberg</t>
  </si>
  <si>
    <t>How Stravinsky Survived Schoenberg</t>
  </si>
  <si>
    <t>MUSIC / Instruction &amp; Study / Theory</t>
  </si>
  <si>
    <t>ML410.S932 O25 2011</t>
  </si>
  <si>
    <t>Music--20th century--History and criticism.</t>
  </si>
  <si>
    <t>Oakes, Meredith</t>
  </si>
  <si>
    <t>Comfort Me with Apples</t>
  </si>
  <si>
    <t>PR6112.E97 C66 2012</t>
  </si>
  <si>
    <t>Farms--England--Somerset Levels--Drama.</t>
  </si>
  <si>
    <t>Leyshon, Nell.</t>
  </si>
  <si>
    <t>Hidden Gems Volume II: Contemporary Black British Plays</t>
  </si>
  <si>
    <t>PR1246.B53 H532 2012eb</t>
  </si>
  <si>
    <t>Blacks--Drama.,English drama--21st century.,English drama--Black authors.</t>
  </si>
  <si>
    <t>Osborne, Deirdre</t>
  </si>
  <si>
    <t>Hidden Gems</t>
  </si>
  <si>
    <t>Dracula and Frankenstein: Two Horror Plays</t>
  </si>
  <si>
    <t>Two Horror Plays</t>
  </si>
  <si>
    <t>PR6062.A825 D73 2012x</t>
  </si>
  <si>
    <t>Horror plays.</t>
  </si>
  <si>
    <t>Lavery, Bryony.-Evans, Lisa-Stoker, Bram-Shelley, Mary Wollstonecraft</t>
  </si>
  <si>
    <t>Sunset Baby</t>
  </si>
  <si>
    <t>PR6113.O7487 S86 2012</t>
  </si>
  <si>
    <t>African Americans--Drama.,Fathers and daughters--Drama.</t>
  </si>
  <si>
    <t>Morisseau, Dominique.-hoopla digital.</t>
  </si>
  <si>
    <t>Scenes From an Execution</t>
  </si>
  <si>
    <t>PR6052.A6485 S24 2012</t>
  </si>
  <si>
    <t>Art commissions--Drama.,Art--Drama.</t>
  </si>
  <si>
    <t>The Girl I Left Behind Me</t>
  </si>
  <si>
    <t>PR6052.A7543 G57 2011</t>
  </si>
  <si>
    <t>Male impersonators--Drama.</t>
  </si>
  <si>
    <t>Bartlett, Neil-Walker, Jessica-Opera North</t>
  </si>
  <si>
    <t>Chronicles of Long Kesh</t>
  </si>
  <si>
    <t>PR6062.Y5945 C47 2010</t>
  </si>
  <si>
    <t>Lynch, Martin.</t>
  </si>
  <si>
    <t>The Purpose of the First World War</t>
  </si>
  <si>
    <t>War Aims and Military Strategies</t>
  </si>
  <si>
    <t>HISTORY / Europe / General</t>
  </si>
  <si>
    <t>D511 .P87 2015</t>
  </si>
  <si>
    <t>World War, 1914-1918--Political aspects.</t>
  </si>
  <si>
    <t>Afflerbach, Holger</t>
  </si>
  <si>
    <t>Self-Directed Support</t>
  </si>
  <si>
    <t>Personalisation, Choice and Control</t>
  </si>
  <si>
    <t>HV1559 .E8</t>
  </si>
  <si>
    <t>Social service--Government policy--Scotland.</t>
  </si>
  <si>
    <t>Pearson, Charlotte.-Hunter, Susan.-Ridley, Julie.</t>
  </si>
  <si>
    <t>Understanding Jainism</t>
  </si>
  <si>
    <t>BL1351.3</t>
  </si>
  <si>
    <t>Jainism--India.</t>
  </si>
  <si>
    <t>Babb, Lawrence A.</t>
  </si>
  <si>
    <t>Understanding Faith</t>
  </si>
  <si>
    <t>Early Intervention</t>
  </si>
  <si>
    <t>Supporting and Strengthening Families</t>
  </si>
  <si>
    <t>POLITICAL SCIENCE / Public Policy / Social Security</t>
  </si>
  <si>
    <t>HV1421</t>
  </si>
  <si>
    <t>Family social work--Great Britain.</t>
  </si>
  <si>
    <t>Vincent, Sharon.-Vincent, Sharon</t>
  </si>
  <si>
    <t>Introducing Sedimentology</t>
  </si>
  <si>
    <t>NATURE / Rocks &amp; Minerals</t>
  </si>
  <si>
    <t>QE471 .J66 2015eb</t>
  </si>
  <si>
    <t>Sedimentology.</t>
  </si>
  <si>
    <t>Jones, S. J.</t>
  </si>
  <si>
    <t>Introducing Mineralogy</t>
  </si>
  <si>
    <t>QE363.2 .M37 2015</t>
  </si>
  <si>
    <t>Mineralogy.</t>
  </si>
  <si>
    <t>Mason, John</t>
  </si>
  <si>
    <t>Introducing Astronomy</t>
  </si>
  <si>
    <t>A Guide to the Universe</t>
  </si>
  <si>
    <t>SCIENCE / Astronomy</t>
  </si>
  <si>
    <t>QB45.2</t>
  </si>
  <si>
    <t>Astronomy.</t>
  </si>
  <si>
    <t>Nicolson, Iain.</t>
  </si>
  <si>
    <t>Introducing Earth &amp; Environmental Sciences</t>
  </si>
  <si>
    <t>Landscape Biographies</t>
  </si>
  <si>
    <t>GF50 .L36 2015eb</t>
  </si>
  <si>
    <t>Cultural landscapes.,Geographical perception.,Human geography.</t>
  </si>
  <si>
    <t>Hermans, Rita-Renes, J.-Kolen, Jan</t>
  </si>
  <si>
    <t>Landscape &amp; Heritage Studies</t>
  </si>
  <si>
    <t>Pre-Industrial Societies</t>
  </si>
  <si>
    <t>Anatomy of the Pre-Modern World</t>
  </si>
  <si>
    <t>HISTORY / World</t>
  </si>
  <si>
    <t>HC21</t>
  </si>
  <si>
    <t>Economic history.,Political science.,Social history.</t>
  </si>
  <si>
    <t>Crone, Patricia</t>
  </si>
  <si>
    <t>Art and Science</t>
  </si>
  <si>
    <t>Art and science.</t>
  </si>
  <si>
    <t>Strosberg, Eliane</t>
  </si>
  <si>
    <t>The Luck Archive</t>
  </si>
  <si>
    <t>Exploring Belief, Superstition, and Tradition</t>
  </si>
  <si>
    <t>PHOTOGRAPHY / Individual Photographers / Artist[a-zA-Z]'\sBooks</t>
  </si>
  <si>
    <t>BF1778 .M46 2015</t>
  </si>
  <si>
    <t>Fortune.,Superstition.</t>
  </si>
  <si>
    <t>Menjivar, Mark-Fletcher, Harrell</t>
  </si>
  <si>
    <t>Hail of Fire</t>
  </si>
  <si>
    <t>A Man and His Family Face Natural Disaster</t>
  </si>
  <si>
    <t>SD421.32.T4</t>
  </si>
  <si>
    <t>Disaster victims--Texas--Bastrop County--Biography.,Loss (Psychology),Natural disasters--Texas--Bastrop County--History--21st century.,Wildfires--Psychological aspects.,Wildfires--Texas--Bastrop County--History--21st century.</t>
  </si>
  <si>
    <t>Fritz, Randy</t>
  </si>
  <si>
    <t>How to Explain a Brain</t>
  </si>
  <si>
    <t>An Educator's Handbook of Brain Terms and Cognitive Processes</t>
  </si>
  <si>
    <t>RC334</t>
  </si>
  <si>
    <t>Brain--Dictionaries.,Cognitive neuroscience--Dictionaries.,Neurosciences--Dictionaries.</t>
  </si>
  <si>
    <t>Sylwester, Robert</t>
  </si>
  <si>
    <t>Adios, America</t>
  </si>
  <si>
    <t>The Left's Plan to Turn Our Country Into a Third World Hellhole</t>
  </si>
  <si>
    <t>POLITICAL SCIENCE / American Government / National</t>
  </si>
  <si>
    <t>JV6477</t>
  </si>
  <si>
    <t>Immigrants--United States.</t>
  </si>
  <si>
    <t>Coulter, Ann H.</t>
  </si>
  <si>
    <t>A Very Dangerous Woman</t>
  </si>
  <si>
    <t>The Lives, Loves and Lies of Russia's Most Seductive Spy</t>
  </si>
  <si>
    <t>BIOGRAPHY &amp; AUTOBIOGRAPHY / Historical</t>
  </si>
  <si>
    <t>HQ1595.Z35</t>
  </si>
  <si>
    <t>Diplomats--Soviet Union.,English--Soviet Union.,Women spies--Soviet Union--Biography.</t>
  </si>
  <si>
    <t>McDonald, Deborah</t>
  </si>
  <si>
    <t>Drones and Targeted Killing</t>
  </si>
  <si>
    <t>Legal, Moral, and Geopolitical Issues</t>
  </si>
  <si>
    <t>Olive Branch Press</t>
  </si>
  <si>
    <t>POLITICAL SCIENCE / Essays</t>
  </si>
  <si>
    <t>UG1242.D7 D76 2015</t>
  </si>
  <si>
    <t>Drone aircraft--Government policy--United States.,Drone aircraft--Moral and ethical aspects--United States.,Drone aircraft--United States.,Geopolitics--United States.</t>
  </si>
  <si>
    <t>Tutu, Desmond-Cohn, Marjorie</t>
  </si>
  <si>
    <t>Gut</t>
  </si>
  <si>
    <t>The Inside Story of Our Body's Most Underrated Organ</t>
  </si>
  <si>
    <t>SCIENCE / Life Sciences / Human Anatomy &amp; Physiology</t>
  </si>
  <si>
    <t>QP145</t>
  </si>
  <si>
    <t>Digestion--Popular works.,Digestive organs--Popular works.</t>
  </si>
  <si>
    <t>Enders, Giulia</t>
  </si>
  <si>
    <t>Advances in Finite Time Thermodynamics</t>
  </si>
  <si>
    <t>Analysis and Optimization</t>
  </si>
  <si>
    <t>TJ265 .A26 2004eb</t>
  </si>
  <si>
    <t>Thermodynamics--Mathematical models.</t>
  </si>
  <si>
    <t>Sun, Fengrui-Chen, Lingen</t>
  </si>
  <si>
    <t>Energy Science, Engineering and Technology</t>
  </si>
  <si>
    <t>Strategies for Fiscal Consolidation in the Post-Crisis World</t>
  </si>
  <si>
    <t>INTERNATIONAL MONETARY FUND</t>
  </si>
  <si>
    <t>HJ192.5 .S77 2010eb</t>
  </si>
  <si>
    <t>Budget.,Debts, Public.,Financial crises--Government policy.,Fiscal policy.,Global Financial Crisis, 2008-2009.,Government spending policy.,Structural adjustment (Economic policy)</t>
  </si>
  <si>
    <t>Abbas, S. M. Ali.-International Monetary Fund.-Velloso, Ricardo.</t>
  </si>
  <si>
    <t>Coping with the Global Financial Crisis: Challenges Facing Low-Income Countries</t>
  </si>
  <si>
    <t>HB3722 .C695 2010</t>
  </si>
  <si>
    <t>Economic forecasting--Developing countries.,Financial crises--Developing countries.,Fiscal policy--Developing countries.,Global Financial Crisis, 2008-2009.</t>
  </si>
  <si>
    <t>Fabrizio, Stefania-International Monetary Fund</t>
  </si>
  <si>
    <t>Exchange Rate Regimes and the Stability of the International Monetary System</t>
  </si>
  <si>
    <t>HG256 .G67 2010</t>
  </si>
  <si>
    <t>Currency question.,Foreign exchange.</t>
  </si>
  <si>
    <t>Ghosh, Atish R.-Ostry, Jonathan David-International Monetary Fund.-Tsangarides, Charalambos G.</t>
  </si>
  <si>
    <t>IMF Occasional Paper</t>
  </si>
  <si>
    <t>Tax Amnesties: Theory, Trends, and Some Alternatives</t>
  </si>
  <si>
    <t>HJ2319</t>
  </si>
  <si>
    <t>Tax amnesty.,Tax collection.,Taxpayer compliance.</t>
  </si>
  <si>
    <t>Baer, Katherine-Le Borgne, Eric.</t>
  </si>
  <si>
    <t>What Macroeconomists Should Know About Health Care Policy</t>
  </si>
  <si>
    <t>HG3881.5.I58</t>
  </si>
  <si>
    <t>Medical economics.,Medical policy--Economic aspects.</t>
  </si>
  <si>
    <t>Heller, Peter S.-Hsiao, William C.-International Monetary Fund.</t>
  </si>
  <si>
    <t>Islamic Republic of Iran: Managing the Transition to a Market Economy</t>
  </si>
  <si>
    <t>HC473 .J35 2007eb</t>
  </si>
  <si>
    <t>Foreign exchange rates--Iran.,Monetary policy--Iran.,Petroleum industry and trade--Iran.</t>
  </si>
  <si>
    <t>Jbili, A.-BaileÌn, J. M.-Kramarenko, V.-International Monetary Fund</t>
  </si>
  <si>
    <t>Lifting the Oil Curse: Improving Petroleum Revenue Management in Sub-Saharan Africa</t>
  </si>
  <si>
    <t>HC800 .L53 2004</t>
  </si>
  <si>
    <t>Fiscal policy--Africa, Sub-Saharan.,Petroleum industry and trade--Africa, Sub-Saharan.</t>
  </si>
  <si>
    <t>Katz, Menachem-International Monetary Fund.</t>
  </si>
  <si>
    <t>The IMF and Aid to Sub-Saharan Africa</t>
  </si>
  <si>
    <t>HG3881.5.I58 I375 2007eb</t>
  </si>
  <si>
    <t>Economic assistance--Africa, Sub-Saharan--Evaluation.,Poverty--Africa, Sub-Saharan.</t>
  </si>
  <si>
    <t>Kaufman, Martin Daniel-Salop, Joanne.-International Monetary Fund.</t>
  </si>
  <si>
    <t>Evaluation Report</t>
  </si>
  <si>
    <t>IEO Report on the Evaluation of IMF Support to Jordan</t>
  </si>
  <si>
    <t>HC415.26 .I44 2005</t>
  </si>
  <si>
    <t>Economic assistance--Jordan--Evaluation.</t>
  </si>
  <si>
    <t>Tsikata, T. M.-International Monetary Fund.</t>
  </si>
  <si>
    <t>Neutral Shores: Ireland &amp; Battle of the Atlantic in World War 2</t>
  </si>
  <si>
    <t>D770 .M355 2012</t>
  </si>
  <si>
    <t>Neutrality--Ireland--History--20th century.,Shipwreck survival--North Atlantic Ocean--History--20th century.,World War, 1939-1945--Campaigns--Atlantic Ocean.,World War, 1939-1945--Ireland.,World War, 1939-1945--Naval operations.</t>
  </si>
  <si>
    <t>McShane, Mark</t>
  </si>
  <si>
    <t>For Ireland and Freedom: Roscommon and the Fight for Independence 1917-1921</t>
  </si>
  <si>
    <t>DA990.R7 O2 2012</t>
  </si>
  <si>
    <t>O'Callaghan, MicheaÌl-Doherty, Gabriel</t>
  </si>
  <si>
    <t>Path to Freedom: Articles &amp; Speeches by Michael Collins</t>
  </si>
  <si>
    <t>DA962 .C5 2011eb</t>
  </si>
  <si>
    <t>Revolutionaries--Ireland.</t>
  </si>
  <si>
    <t>Collins, Michael</t>
  </si>
  <si>
    <t>Michael Collins and the Civil War</t>
  </si>
  <si>
    <t>DA965.C6 D977 2012</t>
  </si>
  <si>
    <t>Dwyer, T. Ryle</t>
  </si>
  <si>
    <t>Robert Whyte's Famine Ship Diary 1847</t>
  </si>
  <si>
    <t>F1035.I6 W48 1994</t>
  </si>
  <si>
    <t>Famines--Ireland--History--19th century.,Immigrants--Canada--Diaries.,Irish diaries--Canada.,Ocean travel--History--19th century.</t>
  </si>
  <si>
    <t>Whyte, Robert-Mangan, James J.</t>
  </si>
  <si>
    <t>Trade Marks Law</t>
  </si>
  <si>
    <t>KDK345 .G53 2009</t>
  </si>
  <si>
    <t>Trademarks--Law and legislation--Ireland.</t>
  </si>
  <si>
    <t>Gibbons, Glen</t>
  </si>
  <si>
    <t>Donegal and the Irish Civil War</t>
  </si>
  <si>
    <t>DA990.D6 O3658 2011eb</t>
  </si>
  <si>
    <t>OÌ Duibhir, Liam</t>
  </si>
  <si>
    <t>The Irish Civil War in Kildare</t>
  </si>
  <si>
    <t>DA990.K42</t>
  </si>
  <si>
    <t>Durney, James-TotalBoox-TBX</t>
  </si>
  <si>
    <t>Brian Boru: High King of Ireland</t>
  </si>
  <si>
    <t>DA932.2.B74 N48 1983</t>
  </si>
  <si>
    <t>Chatterton-Newman, Roger</t>
  </si>
  <si>
    <t>The Fall of Dublin: The Civil War in Dublin</t>
  </si>
  <si>
    <t>HISTORY / Military / General</t>
  </si>
  <si>
    <t>DA995.D75 G55 2011eb</t>
  </si>
  <si>
    <t>Gillis, Liz</t>
  </si>
  <si>
    <t>Military History of the Irish Civil War</t>
  </si>
  <si>
    <t>Hitler's Irishmen: The Irish Waffen-SS Men</t>
  </si>
  <si>
    <t>D763.I73 O74 2008</t>
  </si>
  <si>
    <t>Prisoners of war--Germany--Biography.,Prisoners of war--Ireland--Biography.,Traitors--Ireland--Biography.,World War, 1939-1945--Collaborationists--Great Britain--Biography.</t>
  </si>
  <si>
    <t>O'Reilly, Terence.</t>
  </si>
  <si>
    <t>Liffey Ships and Shipbuilding: A History of Dublin's Shipbuilding Yards</t>
  </si>
  <si>
    <t>VM299.7.I73 .S944 2010eb</t>
  </si>
  <si>
    <t>Shipbuilding--Ireland--Dublin--History.,Shipyards--Ireland--Dublin--History.</t>
  </si>
  <si>
    <t>Sweeney, Pat.</t>
  </si>
  <si>
    <t>Shadow of the Brotherhood: The Temple Bar Murders</t>
  </si>
  <si>
    <t>DA954 .K45 2010eb</t>
  </si>
  <si>
    <t>Assassins--Ireland--Dublin--History--19th century.,Criminal investigation--Ireland--Dublin--History--19th century.,Nationalism--Ireland--History--19th century.,Police murders--Ireland--Dublin--History--19th century.,Police--Violence against--Ireland--Dublin--History--19th century.,Radicals--Ireland--Dublin--History--19th century.</t>
  </si>
  <si>
    <t>Kennerk, Barry.</t>
  </si>
  <si>
    <t>Irish Soldiers in Europe</t>
  </si>
  <si>
    <t>U54.I73 C53 2010eb</t>
  </si>
  <si>
    <t>Irish--Europe--Biography.,Soldiers--Europe--Biography.,Soldiers--Ireland--Biography.</t>
  </si>
  <si>
    <t>Clark, George B.</t>
  </si>
  <si>
    <t>Byrnes Dictionary of Irish Local History</t>
  </si>
  <si>
    <t>DA910 .B97 2004</t>
  </si>
  <si>
    <t>Byrne, Joseph.</t>
  </si>
  <si>
    <t>Magnetic Brackets, The</t>
  </si>
  <si>
    <t>Parlor Press, LLC</t>
  </si>
  <si>
    <t>PQ6662.O815</t>
  </si>
  <si>
    <t>Spanish poetry--20th century.</t>
  </si>
  <si>
    <t>Losada, JesuÌs-Ingelmo, Luis-Smith, Michael</t>
  </si>
  <si>
    <t>Foundational Practices of Online Writing Instruction</t>
  </si>
  <si>
    <t>EDUCATION / Distance, Open &amp; Online Education</t>
  </si>
  <si>
    <t>PE1404</t>
  </si>
  <si>
    <t>Creative writing--Computer-assisted instruction.,English language--Rhetoric--Study and teaching--Computer-assisted instruction.,Web-based instruction.</t>
  </si>
  <si>
    <t>DePew, Kevin Eric-Hewett, Beth L.</t>
  </si>
  <si>
    <t>Perspectives on Writing</t>
  </si>
  <si>
    <t>Yoga Minds, Writing Bodies</t>
  </si>
  <si>
    <t>Contemplative Writing Pedagogy</t>
  </si>
  <si>
    <t>HEALTH &amp; FITNESS / Yoga</t>
  </si>
  <si>
    <t>English language--Composition and exercises--Study and teaching.,Mind and body.,Self in literature.,Yoga.</t>
  </si>
  <si>
    <t>Wenger, Christy I.</t>
  </si>
  <si>
    <t>Open Textbook Library</t>
  </si>
  <si>
    <t>Critical Expressivism</t>
  </si>
  <si>
    <t>Theory and Practice in the Composition Classroom</t>
  </si>
  <si>
    <t>Authorship--Study and teaching.,English language--Composition and exercises--Study and teaching.,English language--Rhetoric--Study and teaching.,Expressivism (Ethics)</t>
  </si>
  <si>
    <t>Roeder, Tara-Gatto, Roseanne</t>
  </si>
  <si>
    <t>Beyond Argument</t>
  </si>
  <si>
    <t>Essaying As a Practice of (Ex)Change</t>
  </si>
  <si>
    <t>P301.5.P47</t>
  </si>
  <si>
    <t>Essay--Authorship.,Persona (Literature),Persuasion (Rhetoric),Self in literature.</t>
  </si>
  <si>
    <t>Allen, Sarah</t>
  </si>
  <si>
    <t>Best of the Independent Journals in Rhetoric and Composition 2013</t>
  </si>
  <si>
    <t>COMPUTERS / Interactive &amp; Multimedia</t>
  </si>
  <si>
    <t>PE1404 -- B478 2015eb</t>
  </si>
  <si>
    <t>English language--Rhetoric--Study and teaching.,Rhetoric--Study and teaching (Higher)</t>
  </si>
  <si>
    <t>Parks, Steve</t>
  </si>
  <si>
    <t>Style</t>
  </si>
  <si>
    <t>An Introduction to History, Theory, Research, and Pedagogy</t>
  </si>
  <si>
    <t>PN3383.S79</t>
  </si>
  <si>
    <t>Knowledge, Theory of--History.,Language and education--History.,Literary style--History.,Narration (Rhetoric)--History.</t>
  </si>
  <si>
    <t>Ray, Brian</t>
  </si>
  <si>
    <t>Reference Guides to Rhetoric and Composition</t>
  </si>
  <si>
    <t>Invasion of the MOOCs</t>
  </si>
  <si>
    <t>The Promises and Perils of Massive Open Online Courses</t>
  </si>
  <si>
    <t>LB1044.87</t>
  </si>
  <si>
    <t>Distance education.,Education, Higher--Computer-assisted instruction.,MOOCs (Web-based instruction),Web-based instruction.</t>
  </si>
  <si>
    <t>Lowe, Charles.-Krause, Steven D.</t>
  </si>
  <si>
    <t>First-Year Composition</t>
  </si>
  <si>
    <t>From Theory to Practice</t>
  </si>
  <si>
    <t>PE1404 .F55 2014eb</t>
  </si>
  <si>
    <t>English language--Rhetoric--Study and teaching.</t>
  </si>
  <si>
    <t>Lunsford, Ronald F.-Coxwell-Teague, Deborah</t>
  </si>
  <si>
    <t>Lauer Series in Rhetoric and Composition</t>
  </si>
  <si>
    <t>Ecologies of Writing Programs</t>
  </si>
  <si>
    <t>Program Profiles in Context</t>
  </si>
  <si>
    <t>LANGUAGE ARTS &amp; DISCIPLINES / Rhetoric</t>
  </si>
  <si>
    <t>PE1479.N28</t>
  </si>
  <si>
    <t>Academic writing--Study and teaching (Higher),Ecology--Authorship--Study and teaching (Higher),English language--Rhetoric--Study and teaching (Higher),Environmental literature--Authorship--Study and teaching (Higher),Interdisciplinary approach in education.,Natural history--Authorship--Study and teaching (Higher),Nature study.,Writing centers--Administration.</t>
  </si>
  <si>
    <t>Ballif, Michelle-Weisser, Christian R.-Reiff, Mary Jo.-Bawarshi, Anis S.</t>
  </si>
  <si>
    <t>Writing Programs Administration</t>
  </si>
  <si>
    <t>WAC and Second Language Writers</t>
  </si>
  <si>
    <t>Research Towards Linguistically and CulturÂ­ally Inclusive Programs and Practices</t>
  </si>
  <si>
    <t>FOREIGN LANGUAGE STUDY / English as a Second Language</t>
  </si>
  <si>
    <t>PE1128.A2</t>
  </si>
  <si>
    <t>English language--Rhetoric--Study and teaching--Foreign speakers.,Interdisciplinary approach in education.,Report writing--Study and teaching (Higher),Second language acquisition--Study and teaching (Higher),Writing centers--Administration.</t>
  </si>
  <si>
    <t>Cox, Michelle-Zawacki, Terry Myers</t>
  </si>
  <si>
    <t>The Best of the Independent Rhetoric and Composition Journals</t>
  </si>
  <si>
    <t>Parlor Press</t>
  </si>
  <si>
    <t>PE1404 .B4762 2014</t>
  </si>
  <si>
    <t>Parks, Stephen</t>
  </si>
  <si>
    <t>Best of the Independent Rhetoric &amp; Composition Journals Series</t>
  </si>
  <si>
    <t>Theory of Literate Action, A</t>
  </si>
  <si>
    <t>Literate Action</t>
  </si>
  <si>
    <t>PHILOSOPHY / Movements / Critical Theory</t>
  </si>
  <si>
    <t>P301 .B366 2013</t>
  </si>
  <si>
    <t>Rhetoric.,Written communication.</t>
  </si>
  <si>
    <t>Bazerman, Charles-WAC Clearinghouse.</t>
  </si>
  <si>
    <t>Rhetoric of Literate Action, A</t>
  </si>
  <si>
    <t>P301 .B365 2013eb</t>
  </si>
  <si>
    <t>Bazerman, Charles</t>
  </si>
  <si>
    <t>A Rhetoric of Literate Action</t>
  </si>
  <si>
    <t>Making of Barack Obama, The</t>
  </si>
  <si>
    <t>The Politics of Persuasion</t>
  </si>
  <si>
    <t>POLITICAL SCIENCE / American Government / Executive Branch</t>
  </si>
  <si>
    <t>E908.3 -- M355 2013eb</t>
  </si>
  <si>
    <t>Communication in politics--United States--History--21st century.,Rhetoric--Political aspects--United States--History--21st century.</t>
  </si>
  <si>
    <t>Abraham, Matthew-Smith, Erec</t>
  </si>
  <si>
    <t>Reconnecting Reading and Writing</t>
  </si>
  <si>
    <t>LANGUAGE ARTS &amp; DISCIPLINES / Reading Skills</t>
  </si>
  <si>
    <t>LB1575.8 .R398 2013</t>
  </si>
  <si>
    <t>Language arts.,Reading.</t>
  </si>
  <si>
    <t>Horning, Alice S.-Kraemer, Elizabeth W.-WAC Clearinghouse (Firm)</t>
  </si>
  <si>
    <t>EPortfolio Performance Support Systems</t>
  </si>
  <si>
    <t>Constructing, Presenting, and Assessing Portfolios</t>
  </si>
  <si>
    <t>COMPUTERS / Digital Media / General</t>
  </si>
  <si>
    <t>LB1029.P67 E66 2013eb</t>
  </si>
  <si>
    <t>Academic writing.,Educational tests and measurements.,Education--Data processing.,Electronic portfolios in education.,Electronic portfolios in education--Study and teaching (Higher),Internet in education.</t>
  </si>
  <si>
    <t>Rice, Richard Aaron.-Wills, Katherine V.</t>
  </si>
  <si>
    <t>Rhetoric for Writing Program Administrators, A</t>
  </si>
  <si>
    <t>PE1405.U6 R493 2013</t>
  </si>
  <si>
    <t>Academic writing--Study and teaching.,English language--Rhetoric--Study and teaching (Higher)--United States.,Interdisciplinary approach in education.,Report writing--Study and teaching (Higher)--United States.,Writing centers--Administration.</t>
  </si>
  <si>
    <t>Hansen, Kristine-Schwalm, David E.-Vander Lei, Elizabeth-Pugh, Melody-Wardle, Elizabeth-Rutz, Carol-Wilhoit, Stephen-Harrington, Susanmarie-Schell, Eileen E.-Royer, Dan-Roger, Gilles-Malenczyk, Rita-Ritter, Kelly-Ashley, Hannah-Townsend, Martha A.-Fitzgerald, Lauren-Downs, Doug-Shuck, Gail</t>
  </si>
  <si>
    <t>Writing Program Administration</t>
  </si>
  <si>
    <t>Writing Posthumanism, Posthuman Writing</t>
  </si>
  <si>
    <t>LITERARY COLLECTIONS / American / General</t>
  </si>
  <si>
    <t>PE1404 .W7294 2015eb</t>
  </si>
  <si>
    <t>Authorship.,English language--Rhetoric--Study and teaching (Higher),Human beings--Philosophy.,Human body and technology.,Postmodernism and education.</t>
  </si>
  <si>
    <t>Dobrin, Sidney I.</t>
  </si>
  <si>
    <t>New Media Theory</t>
  </si>
  <si>
    <t>Centrality of Style, The</t>
  </si>
  <si>
    <t>PE1421 .C46 2013</t>
  </si>
  <si>
    <t>English language--Rhetoric.,Literary style.,Written communication.</t>
  </si>
  <si>
    <t>Duncan, Mike-Vanguri, Star Medzerian</t>
  </si>
  <si>
    <t>Class Politics</t>
  </si>
  <si>
    <t>The Movement for the Studentsâ€™ Right to Their Own Language</t>
  </si>
  <si>
    <t>PE1405.U6 -- .P3 2013eb</t>
  </si>
  <si>
    <t>Academic writing--Study and teaching--Political aspects--United States.,College students--Political activity--United States.,College students--United States--Language.,Education, Higher--Political aspects--United States.,English language--Rhetoric--Study and teaching--Political aspects--United States.,English language--Variation--United States.,Interdisciplinary approach in education.</t>
  </si>
  <si>
    <t>2nd Edition</t>
  </si>
  <si>
    <t>Composition Studies Through a Feminist Lens</t>
  </si>
  <si>
    <t>SOCIAL SCIENCE / Feminism &amp; Feminist Theory</t>
  </si>
  <si>
    <t>PE1404 .S746 2013eb</t>
  </si>
  <si>
    <t>English language--Rhetoric--Study and teaching.,Feminism and education.</t>
  </si>
  <si>
    <t>Stenberg, Shari J.</t>
  </si>
  <si>
    <t>Lenses on Composition Studies</t>
  </si>
  <si>
    <t>Ready to Wear</t>
  </si>
  <si>
    <t>A Rhetoric of Wearable Computers and Reality-Shifting Media</t>
  </si>
  <si>
    <t>QA76.592</t>
  </si>
  <si>
    <t>Discourse analysis, Narrative.,Mobile computing--Social aspects.,Wearable computers.</t>
  </si>
  <si>
    <t>Pedersen, Isabel-Blakesley, David</t>
  </si>
  <si>
    <t>Scientific Writing in a Second Language</t>
  </si>
  <si>
    <t>T11 .H254 2013</t>
  </si>
  <si>
    <t>English language--Study and teaching--Foreign speakers.,Second language acquisition.,Technical writing.</t>
  </si>
  <si>
    <t>Hanauer, David Ian.-Englander, Karen.</t>
  </si>
  <si>
    <t>Second Language Writing</t>
  </si>
  <si>
    <t>Contingency, Immanence, and the Subject of Rhetoric</t>
  </si>
  <si>
    <t>P301 .R54 2013eb</t>
  </si>
  <si>
    <t>Causation in literature.,Immanence of God in literature.,Rhetoric and psychology.,Rhetoric.,Rhetoric--Religious aspects.</t>
  </si>
  <si>
    <t>Richardson, Timothy</t>
  </si>
  <si>
    <t>The Lauer Series in Rhetoric and Composition</t>
  </si>
  <si>
    <t>Writing Program Administration and the Community College</t>
  </si>
  <si>
    <t>PE1405.U6 O78 2013eb</t>
  </si>
  <si>
    <t>Basic writing (Remedial education)--United States.,Community colleges--Curricula--United States.,English language--Rhetoric--Study and teaching (Higher)--United States.,Writing centers--United States--Administration.</t>
  </si>
  <si>
    <t>Ostman, Heather.</t>
  </si>
  <si>
    <t>International Advances in Writing Research</t>
  </si>
  <si>
    <t>Cultures, Places, Measures</t>
  </si>
  <si>
    <t>EDUCATION / Research</t>
  </si>
  <si>
    <t>P53.27</t>
  </si>
  <si>
    <t>Composition (Language arts)--Study and teaching--Research--Congresses.,Rhetoric--Research--Congresses.,Rhetoric--Study and teaching--Congresses.,Written communication--Research--Congresses.</t>
  </si>
  <si>
    <t>Bazerman, Charles.</t>
  </si>
  <si>
    <t>Critical Conversations About Plagiarism</t>
  </si>
  <si>
    <t>LANGUAGE ARTS &amp; DISCIPLINES / Writing / Authorship</t>
  </si>
  <si>
    <t>PN167 .C75 2012eb</t>
  </si>
  <si>
    <t>Authorship--Study and teaching.,Imitation in literature.,Plagiarism.</t>
  </si>
  <si>
    <t>Donnelly, Michael</t>
  </si>
  <si>
    <t>Best of the Independent Rhetoric and Composition Journals 2011, The</t>
  </si>
  <si>
    <t>PE1404 .B478 2013eb</t>
  </si>
  <si>
    <t>Parks, Stephen-Blakesley, David</t>
  </si>
  <si>
    <t>Best of the Independent Rhetoric and Composition Journals</t>
  </si>
  <si>
    <t>Rewriting Success in Rhetoric and Composition Careers</t>
  </si>
  <si>
    <t>PE1405.U6 .R49 2013eb</t>
  </si>
  <si>
    <t>English language--Rhetoric--Study and teaching--Authorship.,English language--Rhetoric--Study and teaching--Research.,English language--Rhetoric--Study and teaching--United States.,Interdisciplinary approach in education.,Report writing--Study and teaching (Higher)--United States.,Writing centers.</t>
  </si>
  <si>
    <t>Goodburn, Amy M.-LeCourt, Donna-Leverenz, Carrie-Blakesley, David</t>
  </si>
  <si>
    <t>Zen</t>
  </si>
  <si>
    <t>The Authentic Gate</t>
  </si>
  <si>
    <t>BQ9288</t>
  </si>
  <si>
    <t>Meditation--Zen Buddhism.</t>
  </si>
  <si>
    <t>Yamada, KoÌ„un</t>
  </si>
  <si>
    <t>Northern Lights</t>
  </si>
  <si>
    <t>The Positive Policy Example of Sweden, Finland, Denmark and Norway</t>
  </si>
  <si>
    <t>POLITICAL SCIENCE / Reference</t>
  </si>
  <si>
    <t>JF51</t>
  </si>
  <si>
    <t>Comparative government.</t>
  </si>
  <si>
    <t>Scott, Andrew</t>
  </si>
  <si>
    <t>Dialogues in a Dream</t>
  </si>
  <si>
    <t>The Life and Zen Teaching of Muso Soseki</t>
  </si>
  <si>
    <t>BQ9268 .M8513 2015eb</t>
  </si>
  <si>
    <t>Zen Buddhism--Doctrines--Early works to 1800.</t>
  </si>
  <si>
    <t>MusoÌ„ Soseki-Kirchner, Thomas YuÌ„hoÌ„</t>
  </si>
  <si>
    <t>The Integration of Descendants of Migrants From Turkey in Stockholm</t>
  </si>
  <si>
    <t>JV8745 .I584 2015eb</t>
  </si>
  <si>
    <t>Westin, Charles</t>
  </si>
  <si>
    <t>IMISCOE Research</t>
  </si>
  <si>
    <t>Issue Mapping for an Ageing Europe</t>
  </si>
  <si>
    <t>HB3581.A3 R64 2015eb</t>
  </si>
  <si>
    <t>Digital mapping.,Population aging--Europe.</t>
  </si>
  <si>
    <t>Rogers, Richard-SaÌnchez-QuerubiÌn, Natalia.-Kil, Aleksandra.</t>
  </si>
  <si>
    <t>We Are Not Amused</t>
  </si>
  <si>
    <t>Failed Humor in Interaction</t>
  </si>
  <si>
    <t>PN6149.S62 B45 2015</t>
  </si>
  <si>
    <t>Miscommunication.,Wit and humor--Social aspects.</t>
  </si>
  <si>
    <t>Bell, Nancy</t>
  </si>
  <si>
    <t>Humor Research [HR]</t>
  </si>
  <si>
    <t>Enhancing Autonomy in Language Education</t>
  </si>
  <si>
    <t>A Case-Based Approach to Teacher and Learner Development</t>
  </si>
  <si>
    <t>P53.457 .R39 2015eb</t>
  </si>
  <si>
    <t>Language and languages--Study and teaching.,Learner autonomy.</t>
  </si>
  <si>
    <t>JimeÌnez Raya, Manuel-Vieira, FlaÌvia</t>
  </si>
  <si>
    <t>Studies in Second and Foreign Language Education</t>
  </si>
  <si>
    <t>The Handbook of Community Practice</t>
  </si>
  <si>
    <t>Sage Publications Inc.</t>
  </si>
  <si>
    <t>SAGE Publications, Inc</t>
  </si>
  <si>
    <t>SOCIAL SCIENCE / Social Work</t>
  </si>
  <si>
    <t>HV41</t>
  </si>
  <si>
    <t>Community development.,Community organization.,Community psychology.,Community-based social services.</t>
  </si>
  <si>
    <t>Ohmer, Mary L.-Reisch, Michael-Weil, Marie</t>
  </si>
  <si>
    <t>American Venice</t>
  </si>
  <si>
    <t>The Epic Story of San Antonio's River</t>
  </si>
  <si>
    <t>HISTORY / United States / State &amp; Local / Southwest (AZ, NM, OK, TX)</t>
  </si>
  <si>
    <t>F392.S19</t>
  </si>
  <si>
    <t>River life--Texas--San Antonio--History.,Urban parks--Texas--San Antonio--Design and construction--History.</t>
  </si>
  <si>
    <t>Fisher, Lewis F.</t>
  </si>
  <si>
    <t>Song From the Forest</t>
  </si>
  <si>
    <t>My Life Among the Pygmies</t>
  </si>
  <si>
    <t>ML3760</t>
  </si>
  <si>
    <t>Benjelle (African people)--Music--History and criticism.,Benjelle (African people)--Social life and customs.,Music--Central African Republic--History and criticism.</t>
  </si>
  <si>
    <t>Sarno, Louis-Obert, Michael-Shoumatoff, Alex</t>
  </si>
  <si>
    <t>Archaeology</t>
  </si>
  <si>
    <t>SOCIAL SCIENCE / Archaeology</t>
  </si>
  <si>
    <t>CC165 .F53 2015eb</t>
  </si>
  <si>
    <t>Archaeology.</t>
  </si>
  <si>
    <t>Flatman, Joe</t>
  </si>
  <si>
    <t>Breadline Britain</t>
  </si>
  <si>
    <t>The Rise of Mass Poverty</t>
  </si>
  <si>
    <t>POLITICAL SCIENCE / Public Policy / Social Policy</t>
  </si>
  <si>
    <t>HC260.P6 L36 2015</t>
  </si>
  <si>
    <t>Poor--Great Britain.,Poverty--Great Britain.</t>
  </si>
  <si>
    <t>Lansley, Stewart-Mack, Joanna</t>
  </si>
  <si>
    <t>The Man From Muscle Shoals</t>
  </si>
  <si>
    <t>My Journey From Shame to Fame</t>
  </si>
  <si>
    <t>Heritage Builders</t>
  </si>
  <si>
    <t>ML429.H18 A3 2015</t>
  </si>
  <si>
    <t>Sound recording executives and producers--United States--Biography.,Sound recording industry--Alabama--Muscle Shoals--History.,Sound recordings--Production and direction.</t>
  </si>
  <si>
    <t>Hall, Rick-Pace, Terry</t>
  </si>
  <si>
    <t>British Columbia</t>
  </si>
  <si>
    <t>A Natural History of Its Origins, Ecology, and Diversity with a New Look at Climate Change</t>
  </si>
  <si>
    <t>TRAVEL / Canada / Western Provinces (AB, BC)</t>
  </si>
  <si>
    <t>QH106.2.B8 C36 2015</t>
  </si>
  <si>
    <t>Climatic changes--British Columbia.,Natural history--British Columbia.,Natural history--British Columbia--Pictorial works.</t>
  </si>
  <si>
    <t>Cannings, Richard J.-Cannings, Sydney G.</t>
  </si>
  <si>
    <t>On the Edge</t>
  </si>
  <si>
    <t>The State and Fate of the World's Tropical Rainforests</t>
  </si>
  <si>
    <t>SCIENCE / Environmental Science</t>
  </si>
  <si>
    <t>QH541.5.R27</t>
  </si>
  <si>
    <t>Rain forest ecology.,Rain forests.</t>
  </si>
  <si>
    <t>Martin, Claude-Lovejoy, Thomas E.</t>
  </si>
  <si>
    <t>Punk in NYC's Lower East Side 1981-1991</t>
  </si>
  <si>
    <t>Scene History Series, Vol 1</t>
  </si>
  <si>
    <t>Microcosm Publishing</t>
  </si>
  <si>
    <t>MUSIC / Genres &amp; Styles / Punk</t>
  </si>
  <si>
    <t>ML1 .N335 2014</t>
  </si>
  <si>
    <t>Nadler, Ben.-Recorded Books, Inc.</t>
  </si>
  <si>
    <t>Alfred Hitchcock</t>
  </si>
  <si>
    <t>PN1998.3.H58 H34 2005</t>
  </si>
  <si>
    <t>Haeffner, Nicholas.</t>
  </si>
  <si>
    <t>On Directors Series</t>
  </si>
  <si>
    <t>A Nurse's Step-By-Step Guide to Writing Your Dissertation or Capstone</t>
  </si>
  <si>
    <t>Sigma Theta Tau International</t>
  </si>
  <si>
    <t>MEDICAL / Family &amp; General Practice</t>
  </si>
  <si>
    <t>RT73</t>
  </si>
  <si>
    <t>Dissertations, Academic.,Nurses.,Writing.</t>
  </si>
  <si>
    <t>Roush, Karen-Sigma Theta Tau International</t>
  </si>
  <si>
    <t>Playful Identities</t>
  </si>
  <si>
    <t>The Ludification of Digital Media Cultures</t>
  </si>
  <si>
    <t>GV1469.17.S63 P52 2015</t>
  </si>
  <si>
    <t>Computer games--Psychological aspects.,Computer games--Social aspects.,Video games--Psychological aspects.,Video games--Social aspects.</t>
  </si>
  <si>
    <t>Frissen, Valerie-Lammes, Sybille-Lange, Michiel de-Mul, Jos de-Raessens, Joost</t>
  </si>
  <si>
    <t>Conflict, Culture, Change</t>
  </si>
  <si>
    <t>Engaged Buddhism in a Globalizing World</t>
  </si>
  <si>
    <t>PHILOSOPHY / Buddhist</t>
  </si>
  <si>
    <t>BQ4570.S6 S9 2005eb</t>
  </si>
  <si>
    <t>Buddhism--Social aspects.,Buddhism--Thailand--History--20th century.</t>
  </si>
  <si>
    <t>Sulak Sivaraksa</t>
  </si>
  <si>
    <t>Each Day Is Different</t>
  </si>
  <si>
    <t>An Introduction to the Care and Support of People with Dementia</t>
  </si>
  <si>
    <t>Mint Associates Ltd</t>
  </si>
  <si>
    <t>Alzheimer's Society</t>
  </si>
  <si>
    <t>RC521</t>
  </si>
  <si>
    <t>Dementia--Patients--Care--Great Britain.</t>
  </si>
  <si>
    <t>Guide to Writing Introductory College Textbooks</t>
  </si>
  <si>
    <t>Advanced Reasoning Forum</t>
  </si>
  <si>
    <t>LB3045.5 .E67 2013eb</t>
  </si>
  <si>
    <t>Textbooks--Authorship.</t>
  </si>
  <si>
    <t>Epstein, Richard L.</t>
  </si>
  <si>
    <t>The Practice of Philology in the Nineteenth-Century Netherlands</t>
  </si>
  <si>
    <t>P121 .P733 2015eb</t>
  </si>
  <si>
    <t>Linguistics.,Philology.</t>
  </si>
  <si>
    <t>Kalmthout, Ton van-Zuidervaart, Huib</t>
  </si>
  <si>
    <t>History of Science and Scholarship in the Netherlands</t>
  </si>
  <si>
    <t>The State Vs. Nelson Mandela</t>
  </si>
  <si>
    <t>The Trial That Changed South Africa</t>
  </si>
  <si>
    <t>HISTORY / Africa / South / Republic of South Africa</t>
  </si>
  <si>
    <t>KTL42.R58 J64 2014</t>
  </si>
  <si>
    <t>Trials (Political crimes and offenses)--South Africa.</t>
  </si>
  <si>
    <t>Joffe, Joel.</t>
  </si>
  <si>
    <t>The Handy Biology Answer Book</t>
  </si>
  <si>
    <t>SCIENCE / Life Sciences / Biology</t>
  </si>
  <si>
    <t>QH349 .H36 2015</t>
  </si>
  <si>
    <t>Biology--Miscellanea.</t>
  </si>
  <si>
    <t>Autism Causes, Prevention &amp; Treatment</t>
  </si>
  <si>
    <t>Vitamin D Deficiency and the Explosive Rise of Autism Spectrum Disorder</t>
  </si>
  <si>
    <t>Sunrise River Press</t>
  </si>
  <si>
    <t>RJ506.A9 C36 2015eb</t>
  </si>
  <si>
    <t>Autism in children--Diet therapy.,Vitamin D--Therapeutic use.</t>
  </si>
  <si>
    <t>Cannell, John Jacob</t>
  </si>
  <si>
    <t>Style Guide</t>
  </si>
  <si>
    <t>PublicAffairs</t>
  </si>
  <si>
    <t>PE1421 .S75 2012</t>
  </si>
  <si>
    <t>Economics--Authorship--Style manuals.,English language--Usage.</t>
  </si>
  <si>
    <t>Economist, The.</t>
  </si>
  <si>
    <t>Economist Books</t>
  </si>
  <si>
    <t>Shackleton</t>
  </si>
  <si>
    <t>By Endurance We Conquer</t>
  </si>
  <si>
    <t>HISTORY / Expeditions &amp; Discoveries</t>
  </si>
  <si>
    <t>G850 1914 .S53 C36 2014</t>
  </si>
  <si>
    <t>Explorers--Great Britain--Biography.</t>
  </si>
  <si>
    <t>Smith, Michael.</t>
  </si>
  <si>
    <t>How to Get A's in College</t>
  </si>
  <si>
    <t>Hundreds of Student-Tested Tips</t>
  </si>
  <si>
    <t>Hundreds of Heads Books</t>
  </si>
  <si>
    <t>EDUCATION / Student Life &amp; Student Affairs</t>
  </si>
  <si>
    <t>LB2395</t>
  </si>
  <si>
    <t>College student orientation--United States.,Study skills--United States.,Test-taking skills--United States.</t>
  </si>
  <si>
    <t>Northcutt, Frances.</t>
  </si>
  <si>
    <t>Hundreds of Heads Survival Guides</t>
  </si>
  <si>
    <t>True Stories, Well Told</t>
  </si>
  <si>
    <t>From the First 20 Years of Creative Nonfiction Magazine</t>
  </si>
  <si>
    <t>In Fact Books</t>
  </si>
  <si>
    <t>PS682 .T78 2014</t>
  </si>
  <si>
    <t>American prose literature--21st century.,Creative writing.</t>
  </si>
  <si>
    <t>Gutkind, Lee-Creative Nonfiction Foundation (U.S.)</t>
  </si>
  <si>
    <t>Cannonball</t>
  </si>
  <si>
    <t>PS3563.A293 M36 2013eb</t>
  </si>
  <si>
    <t>Deception--Political aspects--United States--Fiction.,Divers--Fiction.,Families--California--Fiction.,Iraq War, 2003-2011--Fiction.</t>
  </si>
  <si>
    <t>McElroy, Joseph.</t>
  </si>
  <si>
    <t>Words Without Walls</t>
  </si>
  <si>
    <t>Writers on Addiction, Violence, and Incarceration</t>
  </si>
  <si>
    <t>PS536.3 .W685 2015eb</t>
  </si>
  <si>
    <t>American literature--21st century.</t>
  </si>
  <si>
    <t>St. Germain, Sheryl-Shotland, Sarah-Boston, Anne-Allison, Dorothy</t>
  </si>
  <si>
    <t>The Jane Effect</t>
  </si>
  <si>
    <t>Celebrating Jane Goodall</t>
  </si>
  <si>
    <t>NATURE / Animals / General</t>
  </si>
  <si>
    <t>QL31.G58 J34 2015eb</t>
  </si>
  <si>
    <t>Primatologists--Biography.,Women primatologists--Biography.,Zoologists--Biography.</t>
  </si>
  <si>
    <t>Bekoff, Marc-Peterson, Dale</t>
  </si>
  <si>
    <t>Leading Men</t>
  </si>
  <si>
    <t>Presidential Campaigns and the Politics of Manhood</t>
  </si>
  <si>
    <t>Interlink Books</t>
  </si>
  <si>
    <t>SOCIAL SCIENCE / Gender Studies</t>
  </si>
  <si>
    <t>JK1967 .K37 2012</t>
  </si>
  <si>
    <t>Masculinity--United States.,Political campaigns--United States.,Presidents--United States--Election.</t>
  </si>
  <si>
    <t>Katz, Jackson.</t>
  </si>
  <si>
    <t>The Annotated Mixtape</t>
  </si>
  <si>
    <t>MUSIC / Genres &amp; Styles / Rock</t>
  </si>
  <si>
    <t>PS3608.A7485 Z46 2014</t>
  </si>
  <si>
    <t>Music--Biography.,Sound recordings--Collectors and collecting--Biography.</t>
  </si>
  <si>
    <t>Harmon, Joshua</t>
  </si>
  <si>
    <t>Wait 'Til You Have Real Problems</t>
  </si>
  <si>
    <t>POETRY / American / General</t>
  </si>
  <si>
    <t>PS3602.E24293</t>
  </si>
  <si>
    <t>American poetry--21st century.</t>
  </si>
  <si>
    <t>Beal, Scott</t>
  </si>
  <si>
    <t>Ariadne in the Grotesque Labyrinth</t>
  </si>
  <si>
    <t>Dalkey Archive Press</t>
  </si>
  <si>
    <t>PC3941.E84 A913 2012eb</t>
  </si>
  <si>
    <t>Catalan fiction--20th century.</t>
  </si>
  <si>
    <t>Espriu, Salvador.-Phillips, Rowan Ricardo.</t>
  </si>
  <si>
    <t>The Way of Tenderness</t>
  </si>
  <si>
    <t>Awakening Through Race, Sexuality, and Gender</t>
  </si>
  <si>
    <t>BQ4570.S6 M45 2015eb</t>
  </si>
  <si>
    <t>Buddhism--Social aspects.,Race--Religious aspects--Buddhism.,Sex role--Religious aspects--Buddhism.,Sex--Religious aspects--Buddhism.</t>
  </si>
  <si>
    <t>Manuel, Zenju Earthlyn</t>
  </si>
  <si>
    <t>The Anthropocene</t>
  </si>
  <si>
    <t>The Human Era and How It Shapes Our Planet</t>
  </si>
  <si>
    <t>Synergetic Press</t>
  </si>
  <si>
    <t>GE195.7 .S3413 2014</t>
  </si>
  <si>
    <t>Environmental ethics.,Environmental responsibility.,Nature--Effect of human beings on.</t>
  </si>
  <si>
    <t>SchwaÌˆgerl, Christian.</t>
  </si>
  <si>
    <t>Twenty-First-Century Buddhists in Conversation</t>
  </si>
  <si>
    <t>RELIGION / Buddhism / General</t>
  </si>
  <si>
    <t>BQ4055 .T94 2015eb</t>
  </si>
  <si>
    <t>Buddhism.</t>
  </si>
  <si>
    <t>McLeod, Melvin</t>
  </si>
  <si>
    <t>Vestibular Learning Manual</t>
  </si>
  <si>
    <t>MEDICAL / Surgery / General</t>
  </si>
  <si>
    <t>RF123 .M94 2011eb</t>
  </si>
  <si>
    <t>Patients--Positioning.,Vestibular function tests.</t>
  </si>
  <si>
    <t>Myers, Bre Lynn</t>
  </si>
  <si>
    <t>Core Clinical Concepts in Audiology</t>
  </si>
  <si>
    <t>Reasoning in Science and Mathematics</t>
  </si>
  <si>
    <t>Essays on Logic As the Art of Reasoning Well</t>
  </si>
  <si>
    <t>SCIENCE / Philosophy &amp; Social Aspects</t>
  </si>
  <si>
    <t>Q175 .E678 2012eb</t>
  </si>
  <si>
    <t>Reasoning--Mathematics.,Science--Philosophy.</t>
  </si>
  <si>
    <t>The Fundamentals of Argument Analysis</t>
  </si>
  <si>
    <t>PHILOSOPHY / Logic</t>
  </si>
  <si>
    <t>BC108</t>
  </si>
  <si>
    <t>Logic.</t>
  </si>
  <si>
    <t>Prescriptive Reasoning</t>
  </si>
  <si>
    <t>BC177 .E67 2013eb</t>
  </si>
  <si>
    <t>Logic.,Reasoning.</t>
  </si>
  <si>
    <t>Logic As the Art of Reasoning Well</t>
  </si>
  <si>
    <t>Cause and Effect, Conditionals, Explanations</t>
  </si>
  <si>
    <t>BD541 .E678 2011eb</t>
  </si>
  <si>
    <t>Causation.</t>
  </si>
  <si>
    <t>Epstein, Richard L.-Raffi, Alex</t>
  </si>
  <si>
    <t>Dongshan's Five Ranks</t>
  </si>
  <si>
    <t>Keys to Enlightenment</t>
  </si>
  <si>
    <t>BQ9449.L524</t>
  </si>
  <si>
    <t>Religion.</t>
  </si>
  <si>
    <t>Bolleter, Ross.</t>
  </si>
  <si>
    <t>Support and Care for People with Dementia at Home</t>
  </si>
  <si>
    <t>A Guide for Homecare Workers</t>
  </si>
  <si>
    <t>MEDICAL / Diseases</t>
  </si>
  <si>
    <t>Dementia--Patients--Home care.</t>
  </si>
  <si>
    <t>Taking Part</t>
  </si>
  <si>
    <t>Activities for People with Dementia</t>
  </si>
  <si>
    <t>RC523</t>
  </si>
  <si>
    <t>Adult day care centers--Activity programs.,Alzheimer's disease--Patients--Care.,Alzheimer's disease--Patients--Recreation.,Dementia--Nursing.</t>
  </si>
  <si>
    <t>Graty, Caroline-Knocker, Sally.-Helmer, Helen-Alzheimer's Society</t>
  </si>
  <si>
    <t>Safeguarding People with Dementia</t>
  </si>
  <si>
    <t>Recognising Adult Abuse</t>
  </si>
  <si>
    <t>HV6626.3</t>
  </si>
  <si>
    <t>Alzheimer's disease.,Older people--Abuse of.</t>
  </si>
  <si>
    <t>Pritchard, Jacki-Alzheimer's Society.</t>
  </si>
  <si>
    <t>Promoting Mobility for People with Dementia</t>
  </si>
  <si>
    <t>A Problem-solving Approach</t>
  </si>
  <si>
    <t>HV3004</t>
  </si>
  <si>
    <t>Dementia.,Social work with people with mental disabilities.</t>
  </si>
  <si>
    <t>Oddy, Rosemary-Alzheimer's Society.</t>
  </si>
  <si>
    <t>On Relativization and Clefting</t>
  </si>
  <si>
    <t>An Analysis of Italian Sign Language</t>
  </si>
  <si>
    <t>HV2476.5.I88 B73 2014</t>
  </si>
  <si>
    <t>Italian Sign Language--Grammar.</t>
  </si>
  <si>
    <t>Branchini, Chiara.</t>
  </si>
  <si>
    <t>Sign Languages and Deaf Communities [SLDC]</t>
  </si>
  <si>
    <t>Conventional Gestures</t>
  </si>
  <si>
    <t>Meaning and Methodology</t>
  </si>
  <si>
    <t>LANGUAGE ARTS &amp; DISCIPLINES / Sign Language</t>
  </si>
  <si>
    <t>P117</t>
  </si>
  <si>
    <t>Gesture.</t>
  </si>
  <si>
    <t>Dreaming Red</t>
  </si>
  <si>
    <t>Creating ArtPace</t>
  </si>
  <si>
    <t>N6490 .P23 2014</t>
  </si>
  <si>
    <t>Art, Modern--20th century.,Art, Modern--21st century.,Artist colonies--Texas--San Antonio.</t>
  </si>
  <si>
    <t>Pace, Linda.-Kanjo, Kathryn.-Heartney, Eleanor.-Russell, Jan Jarboe.</t>
  </si>
  <si>
    <t>Essentials of Robotic Surgery</t>
  </si>
  <si>
    <t>Spry Publishing LLC</t>
  </si>
  <si>
    <t>RD24  .S384 2013</t>
  </si>
  <si>
    <t>Surgery--Technological innovations.,Surgical robots.</t>
  </si>
  <si>
    <t>Sood, Manak.-Leichtle, Stefan W.</t>
  </si>
  <si>
    <t>Digital Destiny</t>
  </si>
  <si>
    <t>How the New Age of Data Will Transform the Way We Work, Live, and Communicate</t>
  </si>
  <si>
    <t>HISTORY / Modern / 21st Century</t>
  </si>
  <si>
    <t>T14.5 .D78 2015</t>
  </si>
  <si>
    <t>Technological innovations--Social aspects.,Technology--Social aspects.</t>
  </si>
  <si>
    <t>DuBravac, Shawn-Shapiro, Gary</t>
  </si>
  <si>
    <t>Information Systems Project Management</t>
  </si>
  <si>
    <t>T58.64</t>
  </si>
  <si>
    <t>Information resources management.,Management information systems.,Project management.</t>
  </si>
  <si>
    <t>Olson, David.</t>
  </si>
  <si>
    <t>Modern Islamic Thinking and Activism</t>
  </si>
  <si>
    <t>Dynamics in the West and in the Middle East</t>
  </si>
  <si>
    <t>BP173.7 .M63 2014</t>
  </si>
  <si>
    <t>Islam and civil society--Europe.,Islam and civil society--Middle East.,Islam and politics--Europe.,Islam and politics--Middle East.</t>
  </si>
  <si>
    <t>Toguslu, Erkan-Leman, Johan</t>
  </si>
  <si>
    <t>Current Issues in Islam</t>
  </si>
  <si>
    <t>Studying Religion</t>
  </si>
  <si>
    <t>RELIGION / General</t>
  </si>
  <si>
    <t>BL41 .M36 2007eb</t>
  </si>
  <si>
    <t>Religion--Study and teaching.,Theology.</t>
  </si>
  <si>
    <t>McCutcheon, Russell T.</t>
  </si>
  <si>
    <t>Men in Charge?</t>
  </si>
  <si>
    <t>Rethinking Authority in Muslim Legal Tradition</t>
  </si>
  <si>
    <t>KBP526.3 .M46 2015eb</t>
  </si>
  <si>
    <t>Islamic law.,Man-woman relationships--Islamic countries.,Muslim women.,Women--Islamic countries--Social conditions.</t>
  </si>
  <si>
    <t>Mir-Hosseini, Ziba-Al-Sharmani, Mulki-Rumminger, Jana</t>
  </si>
  <si>
    <t>The Work of Authorship</t>
  </si>
  <si>
    <t>K1420.5 .W67 2014</t>
  </si>
  <si>
    <t>Authorship.,Copyright.</t>
  </si>
  <si>
    <t>Eechoud, M. M. M. van</t>
  </si>
  <si>
    <t>New Publication Cultures in the Humanities</t>
  </si>
  <si>
    <t>Z286.E43 N49 2014</t>
  </si>
  <si>
    <t>Electronic publishing--Social aspects.,Humanities--Publishing.,Scholarly publishing--Social aspects.</t>
  </si>
  <si>
    <t>DaÌvidhaÌzi, PeÌter</t>
  </si>
  <si>
    <t>The Trace of God</t>
  </si>
  <si>
    <t>Derrida and Religion</t>
  </si>
  <si>
    <t>PHILOSOPHY / Movements / Deconstruction</t>
  </si>
  <si>
    <t>B2430.D484 T73 2014</t>
  </si>
  <si>
    <t>Baring, Edward</t>
  </si>
  <si>
    <t>Walking New York</t>
  </si>
  <si>
    <t>Reflections of American Writers From Walt Whitman to Teju Cole</t>
  </si>
  <si>
    <t>PS255.N5 .M56 2015eb</t>
  </si>
  <si>
    <t>American literature--New York (State)--New York--History and criticism.,Authors, American--Homes and haunts--New York (State)--New York.,Authors, English--Travel--New York (State)--New York--History.,City and town life in literature.,Literature and society--New York (State)--New York--History.,Walking in literature.,Walking--New York (State)--New York.</t>
  </si>
  <si>
    <t>Miller, Stephen</t>
  </si>
  <si>
    <t>Imperial Babel</t>
  </si>
  <si>
    <t>Translation, Exoticism, and the Long Nineteenth Century</t>
  </si>
  <si>
    <t>PN241.5.I53 R36 2014eb</t>
  </si>
  <si>
    <t>English literature--History and criticism--Theory, etc.,Imperialism in literature.,Indic literature--History and criticism--Theory, etc.,Translating and interpreting--Great Britain--History.,Translating and interpreting--India--History.</t>
  </si>
  <si>
    <t>Rangarajan, Padma</t>
  </si>
  <si>
    <t>Personal Effects</t>
  </si>
  <si>
    <t>Essays on Memoir, Teaching, and Culture in the Work of Louise DeSalvo</t>
  </si>
  <si>
    <t>LITERARY CRITICISM / Women Authors</t>
  </si>
  <si>
    <t>PR55.D47 .P47 2015eb</t>
  </si>
  <si>
    <t>Caronia, Nancy-Giunta, Edvige</t>
  </si>
  <si>
    <t>Critical Studies in Italian America</t>
  </si>
  <si>
    <t>From a Nickel to a Token</t>
  </si>
  <si>
    <t>The Journey From Board of Transportation to MTA</t>
  </si>
  <si>
    <t>TF725.N5 .S637 2015eb</t>
  </si>
  <si>
    <t>Local transit--New York (State)--New York--History.,Transportation--New York (State)--New York--History.</t>
  </si>
  <si>
    <t>Sparberg, Andrew J.</t>
  </si>
  <si>
    <t>Responding to Loss</t>
  </si>
  <si>
    <t>Heideggerian Reflections on Literature, Architecture, and Film</t>
  </si>
  <si>
    <t>NX458</t>
  </si>
  <si>
    <t>Mugerauer, Robert</t>
  </si>
  <si>
    <t>The End of the World and Other Teachable Moments</t>
  </si>
  <si>
    <t>Jacques Derrida's Final Seminar</t>
  </si>
  <si>
    <t>B2430.D484 .N337 2015eb</t>
  </si>
  <si>
    <t>Philosophy.</t>
  </si>
  <si>
    <t>Naas, Michael</t>
  </si>
  <si>
    <t>Giorgio Agamben</t>
  </si>
  <si>
    <t>Beyond the Threshold of Deconstruction</t>
  </si>
  <si>
    <t>B3611.A44 .A88 2015eb</t>
  </si>
  <si>
    <t>Deconstruction.</t>
  </si>
  <si>
    <t>Attell, Kevin</t>
  </si>
  <si>
    <t>Commonalities</t>
  </si>
  <si>
    <t>The Republic of the Living</t>
  </si>
  <si>
    <t>Biopolitics and the Critique of Civil Society</t>
  </si>
  <si>
    <t>JC337 .V388 2014eb</t>
  </si>
  <si>
    <t>Civil society--Philosophy.</t>
  </si>
  <si>
    <t>Vatter, Miguel</t>
  </si>
  <si>
    <t>Identity</t>
  </si>
  <si>
    <t>Fragments, Frankness</t>
  </si>
  <si>
    <t>PS688 .N363 2015eb</t>
  </si>
  <si>
    <t>American essays.</t>
  </si>
  <si>
    <t>Nancy, Jean-Luc</t>
  </si>
  <si>
    <t>The Body of Property</t>
  </si>
  <si>
    <t>Antebellum American Fiction and the Phenomenology of Possession</t>
  </si>
  <si>
    <t>PS374.M39 .L83 2014eb</t>
  </si>
  <si>
    <t>American fiction--18th century--History and criticism.,American fiction--19th century--History and criticism.,Material culture in literature.,Personal belongings in literature.,Property in literature.</t>
  </si>
  <si>
    <t>Luck, Chad</t>
  </si>
  <si>
    <t>Beyond the Supersquare</t>
  </si>
  <si>
    <t>Art and Architecture in Latin America After Modernism</t>
  </si>
  <si>
    <t>ART / Caribbean &amp; Latin American</t>
  </si>
  <si>
    <t>NA702 .B496x 2014</t>
  </si>
  <si>
    <t>Architecture--Latin America--History.,Art and architecture--Latin America--History--20th century.,Modern movement (Architecture)--Latin America.</t>
  </si>
  <si>
    <t>Torres, Mario-Bessa, Antonio Sergio</t>
  </si>
  <si>
    <t>Portrait Stories</t>
  </si>
  <si>
    <t>PN3352.P64 G56 2015eb</t>
  </si>
  <si>
    <t>Characters and characteristics in literature.,Fiction--19th century--History and criticism.,Portraits in literature.</t>
  </si>
  <si>
    <t>Ginsburg, Michal Peled</t>
  </si>
  <si>
    <t>Transferential Poetics, From Poe to Warhol</t>
  </si>
  <si>
    <t>PN1035 .F73 2015eb</t>
  </si>
  <si>
    <t>Poetics--History.,Semiotics.</t>
  </si>
  <si>
    <t>Frank, Adam</t>
  </si>
  <si>
    <t>After Fukushima</t>
  </si>
  <si>
    <t>The Equivalence of Catastrophes</t>
  </si>
  <si>
    <t>B2430.N363 .N363 2015eb</t>
  </si>
  <si>
    <t>Disasters--Philosophy.,Fukushima Nuclear Disaster, Japan, 2011.,Technology--Philosophy.</t>
  </si>
  <si>
    <t>The Interval</t>
  </si>
  <si>
    <t>Relation and Becoming in Irigaray, Aristotle, and Bergson</t>
  </si>
  <si>
    <t>B2430.I74 H55 2011eb</t>
  </si>
  <si>
    <t>Sex differences.</t>
  </si>
  <si>
    <t>Hill, Rebecca.</t>
  </si>
  <si>
    <t>Treatise on Consequences</t>
  </si>
  <si>
    <t>BC60 .B8713 2015eb</t>
  </si>
  <si>
    <t>Logic, Medieval.,Logic--Early works to 1800.,Proposition (Logic),Syllogism.</t>
  </si>
  <si>
    <t>Buridan, Jean-Read, Stephen</t>
  </si>
  <si>
    <t>Medieval Philosophy: Texts and Studies</t>
  </si>
  <si>
    <t>The People's Right to the Novel</t>
  </si>
  <si>
    <t>War Fiction in the Postcolony</t>
  </si>
  <si>
    <t>LITERARY CRITICISM / African</t>
  </si>
  <si>
    <t>PR9344 .C68 2014eb</t>
  </si>
  <si>
    <t>African fiction (English)--History and criticism.,African fiction (French)--History and criticism.,Literature and society--Africa.,War in literature.</t>
  </si>
  <si>
    <t>Coundouriotis, Eleni</t>
  </si>
  <si>
    <t>How to Be an Intellectual</t>
  </si>
  <si>
    <t>Essays on Criticism, Culture, and the University</t>
  </si>
  <si>
    <t>PN99.U5 .W55 2014eb</t>
  </si>
  <si>
    <t>Criticism--United States.,Intellectuals--United States.,Literature--Study and teaching (Higher)--United States.</t>
  </si>
  <si>
    <t>Williams, Jeffrey</t>
  </si>
  <si>
    <t>Ordinary Oblivion and the Self Unmoored</t>
  </si>
  <si>
    <t>Reading Platoâ€™s Phaedrus and Writing the Soul</t>
  </si>
  <si>
    <t>B380 .R37 2014</t>
  </si>
  <si>
    <t>Rapp, Jennifer R.-UPSO eCollections (University Press Scholarship Online)</t>
  </si>
  <si>
    <t>Divinanimality</t>
  </si>
  <si>
    <t>Animal Theory, Creaturely Theology</t>
  </si>
  <si>
    <t>RELIGION / Christian Theology / General</t>
  </si>
  <si>
    <t>B105.A55 .D58 2014eb</t>
  </si>
  <si>
    <t>Animals (Philosophy),Animals--Religious aspects.,Ecotheology.</t>
  </si>
  <si>
    <t>Moore, Stephen D.</t>
  </si>
  <si>
    <t>Transdisciplinary Theological Colloquia</t>
  </si>
  <si>
    <t>Nietzsche and the Becoming of Life</t>
  </si>
  <si>
    <t>PHILOSOPHY / History &amp; Surveys / Modern</t>
  </si>
  <si>
    <t>B3317 .N548 2015eb</t>
  </si>
  <si>
    <t>Lemm, Vanessa</t>
  </si>
  <si>
    <t>Punishment and Inclusion</t>
  </si>
  <si>
    <t>Race, Membership, and the Limits of American Liberalism</t>
  </si>
  <si>
    <t>POLITICAL SCIENCE / History &amp; Theory</t>
  </si>
  <si>
    <t>JK1846 .D55 2014eb</t>
  </si>
  <si>
    <t>Discrimination in criminal justice administration--United States.,Political rights, Loss of--United States.,Prisoners--Suffrage--United States.,Punishment--United States.,Suffrage--United States.</t>
  </si>
  <si>
    <t>Dilts, Andrew</t>
  </si>
  <si>
    <t>Just Ideas</t>
  </si>
  <si>
    <t>Bruno Latour in Pieces</t>
  </si>
  <si>
    <t>An Intellectual Biography</t>
  </si>
  <si>
    <t>K370 .S365 2015</t>
  </si>
  <si>
    <t>Law--Philosophy.</t>
  </si>
  <si>
    <t>Schmidgen, Henning-Custance, Gloria</t>
  </si>
  <si>
    <t>Forms of Living</t>
  </si>
  <si>
    <t>What's These Worlds Coming To?</t>
  </si>
  <si>
    <t>B829.5 .N363 2015eb</t>
  </si>
  <si>
    <t>Phenomenology--History--20th century.</t>
  </si>
  <si>
    <t>Nancy, Jean-Luc-Barrau, AureÌlien-Holloway, Travis-Mechain, Flor</t>
  </si>
  <si>
    <t>Colours and Contrast</t>
  </si>
  <si>
    <t>Ceramic Traditions in Chinese Architecture</t>
  </si>
  <si>
    <t>Brill Academic Publishers</t>
  </si>
  <si>
    <t>Brill</t>
  </si>
  <si>
    <t>N5300</t>
  </si>
  <si>
    <t>Ceramics in architecture--China.</t>
  </si>
  <si>
    <t>Eng, Clarence.</t>
  </si>
  <si>
    <t>Lessons in Islamic Jurisprudence</t>
  </si>
  <si>
    <t>KBP440.76 .S233 A3313 2014</t>
  </si>
  <si>
    <t>Islamic law.,Jurisprudence--Islamic countries.</t>
  </si>
  <si>
    <t>Mottahedeh, Roy.</t>
  </si>
  <si>
    <t>Medieval Philosophy</t>
  </si>
  <si>
    <t>PHILOSOPHY / History &amp; Surveys / Medieval</t>
  </si>
  <si>
    <t>B721</t>
  </si>
  <si>
    <t>Philosophy, Medieval.</t>
  </si>
  <si>
    <t>Kaye, Sharon M..</t>
  </si>
  <si>
    <t>Lacan</t>
  </si>
  <si>
    <t>PSYCHOLOGY / Movements / Psychoanalysis</t>
  </si>
  <si>
    <t>BF109.L23 B35 2012eb</t>
  </si>
  <si>
    <t>Psychology and philosophy.</t>
  </si>
  <si>
    <t>Bailly, Lionel</t>
  </si>
  <si>
    <t>Racism</t>
  </si>
  <si>
    <t>HT1521 .L412 2008</t>
  </si>
  <si>
    <t>Racism.</t>
  </si>
  <si>
    <t>Lentin, Alana.</t>
  </si>
  <si>
    <t>Oneworld Beginners' Guides</t>
  </si>
  <si>
    <t>Philosophy</t>
  </si>
  <si>
    <t>PHILOSOPHY / Reference</t>
  </si>
  <si>
    <t>BD21 .C384 2012eb</t>
  </si>
  <si>
    <t>Philosophy--Introductions.</t>
  </si>
  <si>
    <t>Cave, Peter.</t>
  </si>
  <si>
    <t>Planet Earth</t>
  </si>
  <si>
    <t>QE31 .G822 2012</t>
  </si>
  <si>
    <t>Earth sciences--Popular works.</t>
  </si>
  <si>
    <t>Gribbin, John.</t>
  </si>
  <si>
    <t>Beginner''s Guides</t>
  </si>
  <si>
    <t>Philosophy of Science</t>
  </si>
  <si>
    <t>Q175</t>
  </si>
  <si>
    <t>Science--Philosophy.,Science--Social aspects.</t>
  </si>
  <si>
    <t>Gorham, Geoffrey.</t>
  </si>
  <si>
    <t>The History of Medicine</t>
  </si>
  <si>
    <t>R131</t>
  </si>
  <si>
    <t>Medicine--History.</t>
  </si>
  <si>
    <t>Jackson, Mark.</t>
  </si>
  <si>
    <t>The Prophet</t>
  </si>
  <si>
    <t>POETRY / Subjects &amp; Themes / Inspirational &amp; Religious</t>
  </si>
  <si>
    <t>PS3513.I25</t>
  </si>
  <si>
    <t>Mysticism--Poetry.,Prose poems, American.</t>
  </si>
  <si>
    <t>Gibran, Kahlil.-Bushrui, Suheil Badi.</t>
  </si>
  <si>
    <t>The Wine of Wisdom</t>
  </si>
  <si>
    <t>The Life, Poetry and Philosophy of Omar Khayyam</t>
  </si>
  <si>
    <t>PK6525 .R39 2007eb</t>
  </si>
  <si>
    <t>Persian poetry--747-1500--History and criticism.,Poets, Persian--747-1500--Biography.</t>
  </si>
  <si>
    <t>Razavi, Mehdi Amin</t>
  </si>
  <si>
    <t>International Relations</t>
  </si>
  <si>
    <t>POLITICAL SCIENCE / International Relations / General</t>
  </si>
  <si>
    <t>JZ1242 .J66 2014</t>
  </si>
  <si>
    <t>International relations.</t>
  </si>
  <si>
    <t>Jones, Charles A.</t>
  </si>
  <si>
    <t>Huxley</t>
  </si>
  <si>
    <t>PR6015.U9</t>
  </si>
  <si>
    <t>O'Hara, Kieron</t>
  </si>
  <si>
    <t>Homer</t>
  </si>
  <si>
    <t>LITERARY CRITICISM / Ancient &amp; Classical</t>
  </si>
  <si>
    <t>PA4037</t>
  </si>
  <si>
    <t>Epic poetry, Greek.</t>
  </si>
  <si>
    <t>Barker, Elton T. E.-Christensen, Joel</t>
  </si>
  <si>
    <t>Feminism</t>
  </si>
  <si>
    <t>HQ1150</t>
  </si>
  <si>
    <t>Feminism.</t>
  </si>
  <si>
    <t>Scholz, Sally J.</t>
  </si>
  <si>
    <t>Engineering</t>
  </si>
  <si>
    <t>TA148 .M33 2012</t>
  </si>
  <si>
    <t>Engineering--Social aspects--Popular works.</t>
  </si>
  <si>
    <t>McCarthy, Natasha.</t>
  </si>
  <si>
    <t>Descartes</t>
  </si>
  <si>
    <t>PHILOSOPHY / Criticism</t>
  </si>
  <si>
    <t>B1875</t>
  </si>
  <si>
    <t>Bracken, Harry M.</t>
  </si>
  <si>
    <t>Critical Thinking</t>
  </si>
  <si>
    <t>B809.2</t>
  </si>
  <si>
    <t>Critical thinking.,Logic.,Reasoning.</t>
  </si>
  <si>
    <t>Crimes Against Humanity</t>
  </si>
  <si>
    <t>K5301 .J66 2008eb</t>
  </si>
  <si>
    <t>Crimes against humanity.,Human rights.</t>
  </si>
  <si>
    <t>Jones, Adam</t>
  </si>
  <si>
    <t>Climate Change</t>
  </si>
  <si>
    <t>QC981.8.G56 B69 2010</t>
  </si>
  <si>
    <t>Climatic changes.,Climatic changes--Environmental aspects.,Climatic changes--Political aspects.,Climatic changes--Social aspects.</t>
  </si>
  <si>
    <t>Boyd, Emily.-Tompkins, Emma L.</t>
  </si>
  <si>
    <t>Beneath the Darkening Sky</t>
  </si>
  <si>
    <t>PR9619.4.T85 B46 2013eb</t>
  </si>
  <si>
    <t>Child soldiers--Africa--Fiction.,Children and violence--Africa--Fiction.,Children and war--Africa--Fiction.</t>
  </si>
  <si>
    <t>Tulba, Majok</t>
  </si>
  <si>
    <t>I, Shakespeare</t>
  </si>
  <si>
    <t>PR2976</t>
  </si>
  <si>
    <t>Literature.</t>
  </si>
  <si>
    <t>King, Ros.</t>
  </si>
  <si>
    <t>Iran</t>
  </si>
  <si>
    <t>DS272</t>
  </si>
  <si>
    <t>Katouzian, Homa</t>
  </si>
  <si>
    <t>Aquinas</t>
  </si>
  <si>
    <t>BX4700.T6</t>
  </si>
  <si>
    <t>Feser, Edward</t>
  </si>
  <si>
    <t>The Torah</t>
  </si>
  <si>
    <t>RELIGION / Judaism / General</t>
  </si>
  <si>
    <t>BS1225.3 .K36 2011eb</t>
  </si>
  <si>
    <t>Kaminsky, Joel S.-Lohr, Joel N.</t>
  </si>
  <si>
    <t>Wittgenstein</t>
  </si>
  <si>
    <t>BIOGRAPHY &amp; AUTOBIOGRAPHY / Philosophers</t>
  </si>
  <si>
    <t>B3376.W564 S77 2002eb</t>
  </si>
  <si>
    <t>Stroll, Avrum</t>
  </si>
  <si>
    <t>Oneworld Philosophers</t>
  </si>
  <si>
    <t>Volcanoes</t>
  </si>
  <si>
    <t>SCIENCE / Earth Sciences / Geology</t>
  </si>
  <si>
    <t>QE522 .L675 2012</t>
  </si>
  <si>
    <t>Volcanoes.</t>
  </si>
  <si>
    <t>Lopes, Rosaly.</t>
  </si>
  <si>
    <t>Understanding Human Nature</t>
  </si>
  <si>
    <t>The Psychology of Personality</t>
  </si>
  <si>
    <t>BF833</t>
  </si>
  <si>
    <t>Characters and characteristics.,Psychology.</t>
  </si>
  <si>
    <t>Adler, Alfred.-Brett, Colin.</t>
  </si>
  <si>
    <t>The Spy In The Coffee Machine</t>
  </si>
  <si>
    <t>The End of Privacy As We Know It</t>
  </si>
  <si>
    <t>POLITICAL SCIENCE / Public Policy / General</t>
  </si>
  <si>
    <t>TK7882 .E2</t>
  </si>
  <si>
    <t>Electronic surveillance--Social aspects.,Privacy, Right of--Social aspects.,Privacy--Social aspects.</t>
  </si>
  <si>
    <t>O''Hara, Kieron.-Shadbolt, Nigel.</t>
  </si>
  <si>
    <t>The Playful Brain</t>
  </si>
  <si>
    <t>Venturing to the Limits of Neuroscience</t>
  </si>
  <si>
    <t>PSYCHOLOGY / Developmental / General</t>
  </si>
  <si>
    <t>QP360 .P43 2009eb</t>
  </si>
  <si>
    <t>Neurobiology.,Play--Psychological aspects.,Social psychology.,Sociobiology.</t>
  </si>
  <si>
    <t>Pellis, Sergio.-Pellis, Vivien.</t>
  </si>
  <si>
    <t>The Legacy of Arab-Islam In Africa</t>
  </si>
  <si>
    <t>A Quest for Inter-religious Dialogue</t>
  </si>
  <si>
    <t>RELIGION / Islam / History</t>
  </si>
  <si>
    <t>HT919 .A98 2014</t>
  </si>
  <si>
    <t>Islam--Africa.,Slavery and Islam--Africa.</t>
  </si>
  <si>
    <t>Azumah, John Alembillah.</t>
  </si>
  <si>
    <t>The Islamic Veil</t>
  </si>
  <si>
    <t>BP190.5.H44 B83 2012eb</t>
  </si>
  <si>
    <t>Hijab (Islamic clothing),Hijab (Islamic clothing)--Political aspects.,Veils.,Veils--Political aspects.</t>
  </si>
  <si>
    <t>Bucar, Elizabeth M.</t>
  </si>
  <si>
    <t>The Enlightenment</t>
  </si>
  <si>
    <t>B802 .O33 2010</t>
  </si>
  <si>
    <t>Enlightenment.</t>
  </si>
  <si>
    <t>O'Hara, Kieron.</t>
  </si>
  <si>
    <t>The Blunders of Our Governments</t>
  </si>
  <si>
    <t>JN231 .K56 2014</t>
  </si>
  <si>
    <t>King, Anthony-Crewe, Ivor</t>
  </si>
  <si>
    <t>Spinoza</t>
  </si>
  <si>
    <t>B3997 .P65 2004eb</t>
  </si>
  <si>
    <t>Philosophers--Netherlands--Biography.</t>
  </si>
  <si>
    <t>Popkin, Richard H.</t>
  </si>
  <si>
    <t>Oneworld Philosophers Series</t>
  </si>
  <si>
    <t>Speaking in God's Name</t>
  </si>
  <si>
    <t>Islamic Law, Authority and Women</t>
  </si>
  <si>
    <t>HQ1170</t>
  </si>
  <si>
    <t>Women (Islamic law)</t>
  </si>
  <si>
    <t>El Fadl, Khaled Abou.</t>
  </si>
  <si>
    <t>Renaissance Art</t>
  </si>
  <si>
    <t>N6370</t>
  </si>
  <si>
    <t>Art, Renaissance--History.,Art, Renaissance--Italy--History.</t>
  </si>
  <si>
    <t>Nichols, Tom</t>
  </si>
  <si>
    <t>Reductionism</t>
  </si>
  <si>
    <t>SCIENCE / Physics / General</t>
  </si>
  <si>
    <t>Q175.32.R47 R34 2013eb</t>
  </si>
  <si>
    <t>Reductionism.</t>
  </si>
  <si>
    <t>Rae, Alastair I. M.</t>
  </si>
  <si>
    <t>Particle Physics</t>
  </si>
  <si>
    <t>QC793.26 .M37 2011</t>
  </si>
  <si>
    <t>Particles (Nuclear physics)</t>
  </si>
  <si>
    <t>Martin, Brian R.</t>
  </si>
  <si>
    <t>Nietzsche</t>
  </si>
  <si>
    <t>Wicks, Robert</t>
  </si>
  <si>
    <t>Nazira Zeineddine</t>
  </si>
  <si>
    <t>A Pioneer of Islamic Feminism</t>
  </si>
  <si>
    <t>HQ1728.Z75 Z45 2012</t>
  </si>
  <si>
    <t>Feminism--Religious aspects--Islam.,Feminists--Lebanon--Biography.,Muslim women--Lebanon--Biography.</t>
  </si>
  <si>
    <t>Cooke, Miriam.</t>
  </si>
  <si>
    <t>Makers of the Muslim World</t>
  </si>
  <si>
    <t>My Beautiful Genome</t>
  </si>
  <si>
    <t>Exposing Our Genetic Future, One Quirk at a Time</t>
  </si>
  <si>
    <t>SCIENCE / Life Sciences / Genetics &amp; Genomics</t>
  </si>
  <si>
    <t>QH447 .F7313 2011eb</t>
  </si>
  <si>
    <t>Genomics.,Human beings--Functional genomics.,Human genome.</t>
  </si>
  <si>
    <t>Frank, Lone</t>
  </si>
  <si>
    <t>Mulla Sadra</t>
  </si>
  <si>
    <t>B753.M84 M45 2013</t>
  </si>
  <si>
    <t>Islamic philosophy.,Muslim philosophers.</t>
  </si>
  <si>
    <t>Meisami, Sayeh</t>
  </si>
  <si>
    <t>Morality, Autonomy, and God</t>
  </si>
  <si>
    <t>RELIGION / Ethics</t>
  </si>
  <si>
    <t>BJ47 .W37 2013eb</t>
  </si>
  <si>
    <t>Ethical relativism.,Philosophy.,Religion and ethics.</t>
  </si>
  <si>
    <t>Ward, Keith</t>
  </si>
  <si>
    <t>Machiavelli</t>
  </si>
  <si>
    <t>DG738.14.M2</t>
  </si>
  <si>
    <t>Political scientists--Italy--Florence--Biography.,Statesmen--Italy--Florence--Biography.</t>
  </si>
  <si>
    <t>Nederman, Cary J.</t>
  </si>
  <si>
    <t>Kicking the Kremlin</t>
  </si>
  <si>
    <t>Russia's New Dissidents and the Battle to Topple Putin</t>
  </si>
  <si>
    <t>JN6581 .B46 2014eb</t>
  </si>
  <si>
    <t>Journalism</t>
  </si>
  <si>
    <t>PN4731</t>
  </si>
  <si>
    <t>Journalism.</t>
  </si>
  <si>
    <t>Niblock, Sarah.</t>
  </si>
  <si>
    <t>History of Science</t>
  </si>
  <si>
    <t>SCIENCE / History</t>
  </si>
  <si>
    <t>Q126</t>
  </si>
  <si>
    <t>Science--History--Popular works.</t>
  </si>
  <si>
    <t>Johnston, Sean</t>
  </si>
  <si>
    <t>Hadith</t>
  </si>
  <si>
    <t>Muhammad's Legacy in the Medieval and Modern World</t>
  </si>
  <si>
    <t>BP136 .B76 2009</t>
  </si>
  <si>
    <t>Hadith--Criticism, interpretation, etc.,Hadith--Criticism, interpretation, etc.--History.,Hadith--History.,Islamic law--History.</t>
  </si>
  <si>
    <t>Brown, Jonathan</t>
  </si>
  <si>
    <t>Foundations of Islam</t>
  </si>
  <si>
    <t>Global Terrorism</t>
  </si>
  <si>
    <t>HV6431 .W436 2008eb</t>
  </si>
  <si>
    <t>Terrorism.</t>
  </si>
  <si>
    <t>Weinberg, Leonard</t>
  </si>
  <si>
    <t>Freud on the Couch</t>
  </si>
  <si>
    <t>A Critical Introduction to the Father of Psychoanalysis</t>
  </si>
  <si>
    <t>BF109.F74 C59 2013eb</t>
  </si>
  <si>
    <t>Psychoanalysis--History.,Psychoanalysts--Austria--Biography.</t>
  </si>
  <si>
    <t>Clack, Beverley.</t>
  </si>
  <si>
    <t>Feminism in Islam</t>
  </si>
  <si>
    <t>Secular and Religious Convergences</t>
  </si>
  <si>
    <t>HQ1785 .B33 2009</t>
  </si>
  <si>
    <t>Feminism--Islamic countries.,Feminism--Religious aspects--Islam.,Muslim women--Social conditions.,Women in Islam.</t>
  </si>
  <si>
    <t>Badran, Margot.</t>
  </si>
  <si>
    <t>European Aesthetics</t>
  </si>
  <si>
    <t>A Critical Introduction From Kant to Derrida</t>
  </si>
  <si>
    <t>BH221.E853 W53 2013eb</t>
  </si>
  <si>
    <t>Aesthetics, European.,Philosophy, European.</t>
  </si>
  <si>
    <t>Epistemology</t>
  </si>
  <si>
    <t>BD161 .M37 2014</t>
  </si>
  <si>
    <t>Martin, Robert M.</t>
  </si>
  <si>
    <t>Conservation</t>
  </si>
  <si>
    <t>QH75</t>
  </si>
  <si>
    <t>Nature conservation.,Wildlife conservation.</t>
  </si>
  <si>
    <t>Jepson, Paul.-Ladle, Richard.</t>
  </si>
  <si>
    <t>Classical Music</t>
  </si>
  <si>
    <t>MT90</t>
  </si>
  <si>
    <t>Music appreciation.,Music--History and criticism.,Music--Social aspects.</t>
  </si>
  <si>
    <t>Johnson, Julian</t>
  </si>
  <si>
    <t>Anthropology</t>
  </si>
  <si>
    <t>SOCIAL SCIENCE / Anthropology / General</t>
  </si>
  <si>
    <t>GN25 .H463 2012eb</t>
  </si>
  <si>
    <t>Anthropology.</t>
  </si>
  <si>
    <t>Hendry, Joy.-Underdown, Simon.</t>
  </si>
  <si>
    <t>Germany: A Literary Anthology</t>
  </si>
  <si>
    <t>Beyond the Enchanted Forest</t>
  </si>
  <si>
    <t>LITERARY COLLECTIONS / European / German</t>
  </si>
  <si>
    <t>PT1110.G4 G47 2014eb</t>
  </si>
  <si>
    <t>Travel writing--Germany.</t>
  </si>
  <si>
    <t>Melican, Brian</t>
  </si>
  <si>
    <t>The Sea-God's Herb</t>
  </si>
  <si>
    <t>Reviews and Essays</t>
  </si>
  <si>
    <t>PN85 .D65 2014eb</t>
  </si>
  <si>
    <t>Art, Modern--20th century--Criticism and interpretation.,Art, Modern--21st century--Criticism and interpretation.,Literature, Modern--20th century--History and criticism.,Literature, Modern--21st century--History and criticism.,Postmodernism (Literature)--History and criticism.</t>
  </si>
  <si>
    <t>Domini, John</t>
  </si>
  <si>
    <t>Plague</t>
  </si>
  <si>
    <t>One Scientist's Intrepid Search for the Truth About Human Retroviruses and Chronic Fatigue Syndrome (ME/CFS), Autism, and Other Diseases</t>
  </si>
  <si>
    <t>SCIENCE / Life Sciences / Virology</t>
  </si>
  <si>
    <t>RB150.F37 H384 2014</t>
  </si>
  <si>
    <t>Chronic fatigue syndrome.,Chronic fatigue syndrome--Diagnosis.,Chronic fatigue syndrome--Treatment.</t>
  </si>
  <si>
    <t>Heckenlively, Kent-Johnson, Hillary-Mikovits, Judy</t>
  </si>
  <si>
    <t>The Last Love of George Sand</t>
  </si>
  <si>
    <t>A Literary Biography</t>
  </si>
  <si>
    <t>PQ2414 .B4813 2013</t>
  </si>
  <si>
    <t>Engravers--France--Biography.,Novelists, French--19th century--Biography.</t>
  </si>
  <si>
    <t>Bloch-Dano, Evelyne</t>
  </si>
  <si>
    <t>Surrendering Oz</t>
  </si>
  <si>
    <t>A Life in Essays</t>
  </si>
  <si>
    <t>Etruscan Press</t>
  </si>
  <si>
    <t>BIOGRAPHY &amp; AUTOBIOGRAPHY / Women</t>
  </si>
  <si>
    <t>PS3606.R556 Z46 2014eb</t>
  </si>
  <si>
    <t>Women authors, American--Biography.,Women teachers--United States--Biography.</t>
  </si>
  <si>
    <t>Friedman, Bonnie</t>
  </si>
  <si>
    <t>Planar Dynamical Systems</t>
  </si>
  <si>
    <t>Selected Classical Problems</t>
  </si>
  <si>
    <t>MATHEMATICS / Applied</t>
  </si>
  <si>
    <t>QA845 .L58 2014</t>
  </si>
  <si>
    <t>Dynamics.</t>
  </si>
  <si>
    <t>Liu, Yirong.-Huang, Wentao.-Li, Jibin.</t>
  </si>
  <si>
    <t>Review Manual for the Certified Healthcare Simulation Educator Exam</t>
  </si>
  <si>
    <t>R834.5</t>
  </si>
  <si>
    <t>Medicine--Study and teaching--Simulation methods--Problems, exercises, etc.,Simulated patients--Problems, exercises, etc.,Simulated patients--Study and teaching--Problems, exercises, etc.</t>
  </si>
  <si>
    <t>Wittmann-Price, Ruth A.-Wilson, Linda</t>
  </si>
  <si>
    <t>Modern Slavery</t>
  </si>
  <si>
    <t>A Comparative Study of the Definition of Trafficking in Persons</t>
  </si>
  <si>
    <t>Brill | Nijhoff</t>
  </si>
  <si>
    <t>LAW / Criminal Law / General</t>
  </si>
  <si>
    <t>K5297 .J36 2015eb</t>
  </si>
  <si>
    <t>Human trafficking--Law and legislation--Comparative studies.,Human trafficking--Law and legislation--Poland.,Human trafficking--Law and legislation--Russia (Federation),Human trafficking--Law and legislation--Sweden.</t>
  </si>
  <si>
    <t>Jansson, Dominika Borg</t>
  </si>
  <si>
    <t>International Studies in Human Rights</t>
  </si>
  <si>
    <t>This Is a Chair (NHB Modern Plays)</t>
  </si>
  <si>
    <t>PR6053.H786</t>
  </si>
  <si>
    <t>Current events--Drama.</t>
  </si>
  <si>
    <t>Churchill, Caryl.</t>
  </si>
  <si>
    <t>The Medical Cannabis Guidebook</t>
  </si>
  <si>
    <t>The Definitive Guide To Using and Growing Medicinal Marijuana</t>
  </si>
  <si>
    <t>Green Candy Press</t>
  </si>
  <si>
    <t>BODY, MIND &amp; SPIRIT / Healing / General</t>
  </si>
  <si>
    <t>RM666.C266</t>
  </si>
  <si>
    <t>Marijuana--Therapeutic use.</t>
  </si>
  <si>
    <t>Ditchfield, Jeff.-Thomas, Mel.</t>
  </si>
  <si>
    <t>Black Ops Bricks</t>
  </si>
  <si>
    <t>How to Build Your Own Model Military and Armored Fighting Vehicles</t>
  </si>
  <si>
    <t>CRAFTS &amp; HOBBIES / Models</t>
  </si>
  <si>
    <t>U311</t>
  </si>
  <si>
    <t>Airplanes, Military--Models.,LEGO toys.,Military miniatures.,Models and modelmaking.,Vehicles, Military--Models.</t>
  </si>
  <si>
    <t>Grant, Nick.</t>
  </si>
  <si>
    <t>Critical Conversations in Healthcare Scripts &amp; Techniques for Effective Interprofessional &amp; Patient Communication</t>
  </si>
  <si>
    <t>MEDICAL / Nursing / General</t>
  </si>
  <si>
    <t>RT82 .C53 2014</t>
  </si>
  <si>
    <t>Nurse and patient.</t>
  </si>
  <si>
    <t>Clancy, Cheri</t>
  </si>
  <si>
    <t>The Encyclopedia of Trouble and Spaciousness</t>
  </si>
  <si>
    <t>SOCIAL SCIENCE / Essays</t>
  </si>
  <si>
    <t>JZ6385 .S65 2014</t>
  </si>
  <si>
    <t>Conduct of life.,Environment.,Politics and war.</t>
  </si>
  <si>
    <t>Solnit, Rebecca.</t>
  </si>
  <si>
    <t>Nobody Home</t>
  </si>
  <si>
    <t>Writing, Buddhism, and Living in Places</t>
  </si>
  <si>
    <t>LITERARY COLLECTIONS / Letters</t>
  </si>
  <si>
    <t>PS3569.N88</t>
  </si>
  <si>
    <t>Snyder, Gary-Martin, Julia.</t>
  </si>
  <si>
    <t>A Muse and a Maze</t>
  </si>
  <si>
    <t>Writing As Puzzle, Mystery, and Magic</t>
  </si>
  <si>
    <t>PN145 .T87 2014</t>
  </si>
  <si>
    <t>Authorship.,Creation (Literary, artistic, etc.),Puzzles.</t>
  </si>
  <si>
    <t>Turchi, Peter</t>
  </si>
  <si>
    <t>Where Do Camels Belong?</t>
  </si>
  <si>
    <t>Why Invasive Species Aren't All Bad</t>
  </si>
  <si>
    <t>QH353 .T46 2014</t>
  </si>
  <si>
    <t>Introduced organisms.</t>
  </si>
  <si>
    <t>Thompson, Ken</t>
  </si>
  <si>
    <t>Generation Stressed</t>
  </si>
  <si>
    <t>Play-Based Tools to Help Your Child Overcome Anxiety</t>
  </si>
  <si>
    <t>LifeTree Media</t>
  </si>
  <si>
    <t>FAMILY &amp; RELATIONSHIPS / Parenting / General</t>
  </si>
  <si>
    <t>RJ506.A58 .K363 2014eb</t>
  </si>
  <si>
    <t>Anxiety in children.,Anxiety in children--Treatment.</t>
  </si>
  <si>
    <t>Kambolis, Michele-Rausser, Stephanie-MacDougall, Naomi-Langrick, Maggie</t>
  </si>
  <si>
    <t>Theodore Roethke</t>
  </si>
  <si>
    <t>PS3535.O39 Z76</t>
  </si>
  <si>
    <t>National characteristics, American, in literature.,Romanticism--United States.</t>
  </si>
  <si>
    <t>Parini, Jay.</t>
  </si>
  <si>
    <t>John McPhee</t>
  </si>
  <si>
    <t>CT275.M4449</t>
  </si>
  <si>
    <t>Authors, American--20th century--Biography.,Journalists--United States--Biography.</t>
  </si>
  <si>
    <t>Pearson, Michael</t>
  </si>
  <si>
    <t>Imagined Places</t>
  </si>
  <si>
    <t>PS141</t>
  </si>
  <si>
    <t>Authors, American--Homes and haunts--United States.,Literary landmarks--United States.</t>
  </si>
  <si>
    <t>Flight of Brothers</t>
  </si>
  <si>
    <t>PS3552.A844 A6 2013eb</t>
  </si>
  <si>
    <t>Poets--Fiction.,Short stories--Fiction.</t>
  </si>
  <si>
    <t>Baumbach, Jonathan.</t>
  </si>
  <si>
    <t>A Place That's Known</t>
  </si>
  <si>
    <t>PE64.P4 A3 2014</t>
  </si>
  <si>
    <t>Books and reading--United States.,English teachers--United States--Biography.,Journalists--United States--Biography.</t>
  </si>
  <si>
    <t>Pearson, Michael.</t>
  </si>
  <si>
    <t>Neurointerventional Techniques</t>
  </si>
  <si>
    <t>Tricks of the Trade</t>
  </si>
  <si>
    <t>RD593</t>
  </si>
  <si>
    <t>Neurosurgical Procedures.</t>
  </si>
  <si>
    <t>Gonzalez, Fernando L.-Albuquerque, Felipe C.</t>
  </si>
  <si>
    <t>You Are My People</t>
  </si>
  <si>
    <t>An Introduction to Prophetic Literature</t>
  </si>
  <si>
    <t>RELIGION / Biblical Studies / Old Testament / Prophets</t>
  </si>
  <si>
    <t>BS1505.52 .S78 2010</t>
  </si>
  <si>
    <t>Stulman, Louis-Kim, Hyun Chul Paul</t>
  </si>
  <si>
    <t>The Letters of Dr. Thomas Coke</t>
  </si>
  <si>
    <t>Kingswood Books</t>
  </si>
  <si>
    <t>RELIGION / Christianity / History</t>
  </si>
  <si>
    <t>BX8495.C6 A4 2013</t>
  </si>
  <si>
    <t>Methodist Church--History.</t>
  </si>
  <si>
    <t>Coke, Thomas-Vickers, John A.</t>
  </si>
  <si>
    <t>The Abingdon Introduction to the Bible</t>
  </si>
  <si>
    <t>Understanding Jewish and Christian Scriptures</t>
  </si>
  <si>
    <t>RELIGION / Biblical Studies / General</t>
  </si>
  <si>
    <t>BS475.3</t>
  </si>
  <si>
    <t>Kaminsky, Joel S.-Reasoner, Mark-Lohr, Joel N.</t>
  </si>
  <si>
    <t>Revelation and the End Times Participant's Guide</t>
  </si>
  <si>
    <t>Unraveling Godâ€™s Message of Hope</t>
  </si>
  <si>
    <t>RELIGION / Biblical Studies / New Testament / General</t>
  </si>
  <si>
    <t>BS649.E63 W58 2010eb</t>
  </si>
  <si>
    <t>End of the world--Biblical teaching.</t>
  </si>
  <si>
    <t>Witherington, Ben</t>
  </si>
  <si>
    <t>Reading Scripture As Wesleyans</t>
  </si>
  <si>
    <t>RELIGION / Christianity / Methodist</t>
  </si>
  <si>
    <t>BS2361.3</t>
  </si>
  <si>
    <t>Green, Joel B.</t>
  </si>
  <si>
    <t>Psalms</t>
  </si>
  <si>
    <t>Interpreting Biblical Texts Series</t>
  </si>
  <si>
    <t>RELIGION / Biblical Commentary / Old Testament / General</t>
  </si>
  <si>
    <t>BS1430.52 .B75 2010</t>
  </si>
  <si>
    <t>Brown, William P.</t>
  </si>
  <si>
    <t>Interpreting Biblical Texts</t>
  </si>
  <si>
    <t>New Testament Theology</t>
  </si>
  <si>
    <t>RELIGION / Christian Theology / Systematic</t>
  </si>
  <si>
    <t>BS2397 .D835 2009eb</t>
  </si>
  <si>
    <t>Dunn, James D. G.</t>
  </si>
  <si>
    <t>The Library of Biblical Theology</t>
  </si>
  <si>
    <t>Methodist and Pietist</t>
  </si>
  <si>
    <t>Retrieving the Evangelical United Brethren Tradition</t>
  </si>
  <si>
    <t>RELIGION / Christian Church / History</t>
  </si>
  <si>
    <t>BX7556 .R48 2011eb</t>
  </si>
  <si>
    <t>Vickers, Jason E.-O'Malley, J. Steven</t>
  </si>
  <si>
    <t>Living Grace</t>
  </si>
  <si>
    <t>An Outline of United Methodist Theology</t>
  </si>
  <si>
    <t>BX8331.3 .K5713 2001eb</t>
  </si>
  <si>
    <t>Methodist Church--Doctrines.</t>
  </si>
  <si>
    <t>Klaiber, Walter.-Marquardt, Manfred-O'Malley, J. Steven-Guthrie, Ulrike R. M.</t>
  </si>
  <si>
    <t>Liberating Black Church History</t>
  </si>
  <si>
    <t>Making It Plain</t>
  </si>
  <si>
    <t>RELIGION / Christian Theology / History</t>
  </si>
  <si>
    <t>BT82.7</t>
  </si>
  <si>
    <t>African American churches--History.,Black theology--History.</t>
  </si>
  <si>
    <t>Floyd-Thomas, Juan Marcial.</t>
  </si>
  <si>
    <t>Introduction to World Religions</t>
  </si>
  <si>
    <t>Communities and Cultures</t>
  </si>
  <si>
    <t>BL80.3 .I59 2010eb</t>
  </si>
  <si>
    <t>Religions.</t>
  </si>
  <si>
    <t>Neusner, Jacob</t>
  </si>
  <si>
    <t>God in New Testament Theology</t>
  </si>
  <si>
    <t>BS2398 .H87 2010</t>
  </si>
  <si>
    <t>God--Biblical teaching.</t>
  </si>
  <si>
    <t>Hurtado, Larry W.</t>
  </si>
  <si>
    <t>Library of Biblical Theology</t>
  </si>
  <si>
    <t>God and World in the Old Testament</t>
  </si>
  <si>
    <t>A Relational Theology of Creation</t>
  </si>
  <si>
    <t>RELIGION / Biblical Studies / Old Testament / General</t>
  </si>
  <si>
    <t>BS1199.C73</t>
  </si>
  <si>
    <t>Creation--Biblical teaching.</t>
  </si>
  <si>
    <t>Fretheim, Terence E.</t>
  </si>
  <si>
    <t>Globalization and Theology</t>
  </si>
  <si>
    <t>BR115.G59 R54 2010</t>
  </si>
  <si>
    <t>Globalization--Religious aspects--Christianity.,Theology.</t>
  </si>
  <si>
    <t>Rieger, Joerg.</t>
  </si>
  <si>
    <t>Horizons in Theology</t>
  </si>
  <si>
    <t>Calvin Vs. Wesley</t>
  </si>
  <si>
    <t>Bringing Belief in Line with Practice</t>
  </si>
  <si>
    <t>BX9995.W45</t>
  </si>
  <si>
    <t>Calvinism.,Methodist Church--Doctrines.,Reformed Church--Doctrines.</t>
  </si>
  <si>
    <t>Thorsen, Donald A. D.</t>
  </si>
  <si>
    <t>Abingdon Old Testament Commentaries: Ruth</t>
  </si>
  <si>
    <t>BS1315.53</t>
  </si>
  <si>
    <t>Fentress-Williams, Judy</t>
  </si>
  <si>
    <t>Abingdon Old Testament Commentaries</t>
  </si>
  <si>
    <t>Abingdon Old Testament Commentaries: Ezekiel</t>
  </si>
  <si>
    <t>BS1545.53</t>
  </si>
  <si>
    <t>Bowen, Nancy R.</t>
  </si>
  <si>
    <t>Abingdon New Testament Commentaries: Mark</t>
  </si>
  <si>
    <t>RELIGION / Biblical Commentary / New Testament / General</t>
  </si>
  <si>
    <t>BS2585.53 .B53 2011eb</t>
  </si>
  <si>
    <t>Black, C. Clifton</t>
  </si>
  <si>
    <t>Abingdon New Testament Commentaries</t>
  </si>
  <si>
    <t>A Theological Introduction to the Old Testament</t>
  </si>
  <si>
    <t>BS1192.5</t>
  </si>
  <si>
    <t>Birch, Bruce C.-Petersen, David L.-Fretheim, Terence E.-Brueggemann, Walter</t>
  </si>
  <si>
    <t>A New History of Christianity</t>
  </si>
  <si>
    <t>BR145.3</t>
  </si>
  <si>
    <t>Church history.</t>
  </si>
  <si>
    <t>Hillerbrand, Hans J.</t>
  </si>
  <si>
    <t>A Living Tradition</t>
  </si>
  <si>
    <t>Critical Recovery and Reconstruction of Wesleyan Heritage</t>
  </si>
  <si>
    <t>BX8231</t>
  </si>
  <si>
    <t>Moore, Mary Elizabeth</t>
  </si>
  <si>
    <t>A Concise History of Christian Doctrine</t>
  </si>
  <si>
    <t>BT77 .G66 2005</t>
  </si>
  <si>
    <t>Theology, Doctrinal--Popular works.</t>
  </si>
  <si>
    <t>GonzÃ¡lez, Justo L.</t>
  </si>
  <si>
    <t>A Brief History of Christian Worship</t>
  </si>
  <si>
    <t>RELIGION / Institutions &amp; Organizations</t>
  </si>
  <si>
    <t>BV5</t>
  </si>
  <si>
    <t>Liturgics--History.,Public worship--History.</t>
  </si>
  <si>
    <t>White, James F.</t>
  </si>
  <si>
    <t>The Use of Signing Space in a Shared Sign Language of Australia</t>
  </si>
  <si>
    <t>HV2474</t>
  </si>
  <si>
    <t>Aboriginal Australians--Sign language.,Australian Sign Language.</t>
  </si>
  <si>
    <t>Bauer, Anastasia</t>
  </si>
  <si>
    <t>Sign Language Typology Series</t>
  </si>
  <si>
    <t>The Making of the Humanities, Volume III</t>
  </si>
  <si>
    <t>AZ341 .M35 2014</t>
  </si>
  <si>
    <t>Humanities--Comparative method--Congresses.,Humanities--Congresses.,Humanities--Research--Congresses.</t>
  </si>
  <si>
    <t>Bod, Rens-Maat, Jaap-Weststeijn, Thijs</t>
  </si>
  <si>
    <t>The Making of the Humanities</t>
  </si>
  <si>
    <t>Irregular Migrants in Belgium and the Netherlands</t>
  </si>
  <si>
    <t>D652</t>
  </si>
  <si>
    <t>Emigration and immigration.,Illegal aliens--Belgium.,Illegal aliens--Netherlands.,Immigrants--Belgium.,Immigrants--Netherlands.</t>
  </si>
  <si>
    <t>Meeteren, Masja van.</t>
  </si>
  <si>
    <t>Imiscoe Research</t>
  </si>
  <si>
    <t>The Horror Film</t>
  </si>
  <si>
    <t>PN1995.9.H6</t>
  </si>
  <si>
    <t>Horror films--History and criticism.</t>
  </si>
  <si>
    <t>Hutchings, Peter.</t>
  </si>
  <si>
    <t>Inside Film</t>
  </si>
  <si>
    <t>Strategic Practice Management</t>
  </si>
  <si>
    <t>Business and Procedural Considerations</t>
  </si>
  <si>
    <t>RF291 .G53 2014eb</t>
  </si>
  <si>
    <t>Audiology--Practice.,Strategic planning.</t>
  </si>
  <si>
    <t>Glaser, Robert</t>
  </si>
  <si>
    <t>Multidimensional Inverse and Ill-Posed Problems for Differential Equations</t>
  </si>
  <si>
    <t>MATHEMATICS / General</t>
  </si>
  <si>
    <t>QA374</t>
  </si>
  <si>
    <t>Differential equations, Partial--Improperly posed problems.,Inverse problems (Differential equations)</t>
  </si>
  <si>
    <t>Anikonov, Iï¸ Uï¸¡. E.</t>
  </si>
  <si>
    <t>Inverse and Ill-posed Problems Series</t>
  </si>
  <si>
    <t>Educational Mobility of Second-generation Turks</t>
  </si>
  <si>
    <t>L3736</t>
  </si>
  <si>
    <t>Children of immigrants--Education--Austria.,Children of immigrants--Education--France.,Children of immigrants--Education--Sweden.,Educational mobility--Austria.,Educational mobility--France.,Educational mobility--Sweden.,Turks--Education--Austria.,Turks--Education--France.,Turks--Education--Sweden.</t>
  </si>
  <si>
    <t>Schnell, Philipp.</t>
  </si>
  <si>
    <t>Migration From the Middle East and North Africa to Europe</t>
  </si>
  <si>
    <t>Sievers, Wiebke-Fassmann, Heinz-Bommes, Michael</t>
  </si>
  <si>
    <t>Transit Migration in Europe</t>
  </si>
  <si>
    <t>JV7590 .T736 2014eb</t>
  </si>
  <si>
    <t>Immigrants--Europe.</t>
  </si>
  <si>
    <t>DuÌˆvell, Franck-Molodikova, I.-Collyer, Michael</t>
  </si>
  <si>
    <t>Maximilian and Carlota</t>
  </si>
  <si>
    <t>Europe's Last Empire in Mexico</t>
  </si>
  <si>
    <t>HISTORY / Latin America / Mexico</t>
  </si>
  <si>
    <t>F1233.M45</t>
  </si>
  <si>
    <t>Emperors--Mexico--Biography.,Empresses--Mexico--Biography.</t>
  </si>
  <si>
    <t>Amberson, Mary Margaret McAllen.</t>
  </si>
  <si>
    <t>Early Morning</t>
  </si>
  <si>
    <t>Remembering My Father, William Stafford</t>
  </si>
  <si>
    <t>PS3537.T143 .S734 2013eb</t>
  </si>
  <si>
    <t>Poets, American--20th century--Biography.,Poets, American--20th century--Family relationships.</t>
  </si>
  <si>
    <t>Stafford, Kim Robert.-Stafford, William.-Schoenbrodt, Christa.</t>
  </si>
  <si>
    <t>Writing Architecture</t>
  </si>
  <si>
    <t>A Practical Guide to Clear Communication About the Built Environment</t>
  </si>
  <si>
    <t>ARCHITECTURE / Professional Practice</t>
  </si>
  <si>
    <t>NA680</t>
  </si>
  <si>
    <t>Architecture, Modern--20th century.</t>
  </si>
  <si>
    <t>Wiseman, Carter.</t>
  </si>
  <si>
    <t>Social Psychology</t>
  </si>
  <si>
    <t>HM1033 .D45 2014</t>
  </si>
  <si>
    <t>Social psychology.</t>
  </si>
  <si>
    <t>DeLamater, John D.-Collett, Jessica L.-Myers, Daniel J.</t>
  </si>
  <si>
    <t>Speaking the Unspeakable in Postwar Germany</t>
  </si>
  <si>
    <t>Toward a Public Discourse on the Holocaust</t>
  </si>
  <si>
    <t>Cornell University Press</t>
  </si>
  <si>
    <t>Cornell University Press and Cornell University Library</t>
  </si>
  <si>
    <t>HISTORY / Europe / Germany</t>
  </si>
  <si>
    <t>D804.3 .B66 2014</t>
  </si>
  <si>
    <t>Holocaust, Jewish (1939-1945)--Influence.,Holocaust, Jewish (1939-1945)--Public opinion.,Public opinion--Germany (West),Speeches, addresses, etc., German--History and criticism.</t>
  </si>
  <si>
    <t>Boos, Sonja</t>
  </si>
  <si>
    <t>Signale: Modern German Letters, Cultures, and Thought</t>
  </si>
  <si>
    <t>The Climate Change Crisis</t>
  </si>
  <si>
    <t>Spinney Press</t>
  </si>
  <si>
    <t>QC981.8.G56</t>
  </si>
  <si>
    <t>Climate change mitigation.,Climatic changes.,Global warming.</t>
  </si>
  <si>
    <t>Healey, Justin</t>
  </si>
  <si>
    <t>Issues in Society</t>
  </si>
  <si>
    <t>Group Psychotherapy</t>
  </si>
  <si>
    <t>The Psycho-Analytic Approach</t>
  </si>
  <si>
    <t>RC510</t>
  </si>
  <si>
    <t>Group psychoanalysis.</t>
  </si>
  <si>
    <t>Foulkes, S. H.-Anthony, E. James</t>
  </si>
  <si>
    <t>Shakespeare on Film</t>
  </si>
  <si>
    <t>PR3093</t>
  </si>
  <si>
    <t>English drama--Film adaptations.,Film adaptations--History and criticism.</t>
  </si>
  <si>
    <t>Buchanan, Judith R.</t>
  </si>
  <si>
    <t>Introduction to Metal-ceramic Technology</t>
  </si>
  <si>
    <t>Quintessence Publishing Company Inc.</t>
  </si>
  <si>
    <t>International Quintessence Publishing Group</t>
  </si>
  <si>
    <t>RK653.5 .N39 2009eb</t>
  </si>
  <si>
    <t>Dental ceramic metals.</t>
  </si>
  <si>
    <t>Naylor, W. Patrick.-King, Arlo H.</t>
  </si>
  <si>
    <t>Margaret Tyler</t>
  </si>
  <si>
    <t>Mirror of Princely Deeds and Knighthood</t>
  </si>
  <si>
    <t>FICTION / Classics</t>
  </si>
  <si>
    <t>PQ6419.O8</t>
  </si>
  <si>
    <t>Chivalry in literature--Early works to 1800.,English literature--Early modern, 1500-1700.,Spanish literature--16th century--Translations into English.,Translators--Great Britain--16th century.,Women--England--History--Renaissance, 1450-1600.</t>
  </si>
  <si>
    <t>OrtuÌnÌƒez de Calahorra, Diego.-Tyler, Margaret-Boro, Joyce</t>
  </si>
  <si>
    <t>EugeÌnie Et Mathilde, Ou, MeÌmoires De La Famille Du Comte De Revel</t>
  </si>
  <si>
    <t>LITERARY CRITICISM / European / French</t>
  </si>
  <si>
    <t>PQ2429.S6</t>
  </si>
  <si>
    <t>Souza-Botelho, AdeÌlaiÌˆde-Marie-Emilie Filleul-Carpenter, Kirsty</t>
  </si>
  <si>
    <t>On Hallucination, Intuition, and the Becoming of O</t>
  </si>
  <si>
    <t>RC553.H3 .O63 2014</t>
  </si>
  <si>
    <t>Hallucinations and illusions.,Metaphysics.,Psychoanalysis.</t>
  </si>
  <si>
    <t>Rhode, Eric.</t>
  </si>
  <si>
    <t>On Birth and Madness</t>
  </si>
  <si>
    <t>RG651 .R463 2014eb</t>
  </si>
  <si>
    <t>Childbirth.,Labor (Obstetrics),Pregnancy.</t>
  </si>
  <si>
    <t>Rhode, Eric-Williams-Bradbury</t>
  </si>
  <si>
    <t>Witz</t>
  </si>
  <si>
    <t>A Novel</t>
  </si>
  <si>
    <t>PS3553.O42434 W58 2010eb</t>
  </si>
  <si>
    <t>Jews--Fiction.</t>
  </si>
  <si>
    <t>Cohen, Joshua</t>
  </si>
  <si>
    <t>American Literature Series</t>
  </si>
  <si>
    <t>The Care of Fine Books</t>
  </si>
  <si>
    <t>ANTIQUES &amp; COLLECTIBLES / Books</t>
  </si>
  <si>
    <t>Z701.3.F53</t>
  </si>
  <si>
    <t>Books--Conservation and restoration.,Fine books.,Private press books.</t>
  </si>
  <si>
    <t>Greenfield, Jane.</t>
  </si>
  <si>
    <t>Death of Lysanda</t>
  </si>
  <si>
    <t>Two Novellas</t>
  </si>
  <si>
    <t>FICTION / Jewish</t>
  </si>
  <si>
    <t>PJ5054.O75 D4313 2013eb</t>
  </si>
  <si>
    <t>Orpaz, YitshÌ£akÌ£-Flint, Richard-Zaraf, David-Orpaz Averbuch, Yitzhak</t>
  </si>
  <si>
    <t>Hebrew Literature Series</t>
  </si>
  <si>
    <t>Blood Feud</t>
  </si>
  <si>
    <t>The Clintons Vs. The Obamas</t>
  </si>
  <si>
    <t>E907 .K554 2014</t>
  </si>
  <si>
    <t>Klein, Edward.</t>
  </si>
  <si>
    <t>Best European Fiction 2014</t>
  </si>
  <si>
    <t>PN6120.2 .B468 2013eb</t>
  </si>
  <si>
    <t>Short stories, European.</t>
  </si>
  <si>
    <t>JancÌŒar, Drago</t>
  </si>
  <si>
    <t>Best European Fiction</t>
  </si>
  <si>
    <t>Best European Fiction 2013</t>
  </si>
  <si>
    <t>FICTION / Anthologies (multiple authors)</t>
  </si>
  <si>
    <t>Banville, John.-Hemon, Aleksandar</t>
  </si>
  <si>
    <t>Best European Fiction 2012</t>
  </si>
  <si>
    <t>PN6120.2 .B468 2011eb</t>
  </si>
  <si>
    <t>Hemon, Aleksandar</t>
  </si>
  <si>
    <t>Best European Fiction 2011</t>
  </si>
  <si>
    <t>PN6120.2 .B468 2010eb</t>
  </si>
  <si>
    <t>Hemon, Aleksandar-McCann, Colum</t>
  </si>
  <si>
    <t>Best European Fiction 2010</t>
  </si>
  <si>
    <t>Smith, Zadie.-Hemon, Aleksandar</t>
  </si>
  <si>
    <t>Barbara Wright</t>
  </si>
  <si>
    <t>Translation As Art</t>
  </si>
  <si>
    <t>P306.92.W75 B37 2013eb</t>
  </si>
  <si>
    <t>French language--Translating.,Translating and interpreting.,Translators--Great Britain--Biography.</t>
  </si>
  <si>
    <t>Kelly, Debra.-Renouard, Madeleine.</t>
  </si>
  <si>
    <t>Scholarly Series</t>
  </si>
  <si>
    <t>Awakening to the Great Sleep War</t>
  </si>
  <si>
    <t>PT2670.O5 E713 2012eb</t>
  </si>
  <si>
    <t>Magic realism (Literature)</t>
  </si>
  <si>
    <t>Jonke, Gert-Snook, Jean M.</t>
  </si>
  <si>
    <t>Austrian Literature Series</t>
  </si>
  <si>
    <t>Autoportrait</t>
  </si>
  <si>
    <t>PQ2712.E87 Z4613 2012eb</t>
  </si>
  <si>
    <t>LeveÌ, EÌdouard.-Stein, Lorin.</t>
  </si>
  <si>
    <t>Approaching Disappearance</t>
  </si>
  <si>
    <t>PQ2603.L3343 Z785 2013eb</t>
  </si>
  <si>
    <t>French literature--History and criticism.,Self (Philosophy) in literature.,Self-consciousness (Awareness) in literature.</t>
  </si>
  <si>
    <t>McConnell, Anne</t>
  </si>
  <si>
    <t>And Still the Earth</t>
  </si>
  <si>
    <t>PQ9698.12.R293 N313 2013eb</t>
  </si>
  <si>
    <t>BrandaÌƒo, IgnaÌcio de Loyola</t>
  </si>
  <si>
    <t>Brazilian Literature</t>
  </si>
  <si>
    <t>Aliss at the Fire</t>
  </si>
  <si>
    <t>PT8951.16.O73 D4813 2010eb</t>
  </si>
  <si>
    <t>Loss (Psychology)--Fiction.</t>
  </si>
  <si>
    <t>Fosse, Jon-Searls, Damion.</t>
  </si>
  <si>
    <t>Norwegian Literature Series</t>
  </si>
  <si>
    <t>Adam in Eden</t>
  </si>
  <si>
    <t>PQ7297.F793 A2 2012eb</t>
  </si>
  <si>
    <t>Legal stories.</t>
  </si>
  <si>
    <t>Fuentes, Carlos.-Branger, Alejandro.-Bumas, E. Shaskan</t>
  </si>
  <si>
    <t>[Mexican Literature Series]</t>
  </si>
  <si>
    <t>The Next America</t>
  </si>
  <si>
    <t>Boomers, Millennials, and the Looming Generational Showdown</t>
  </si>
  <si>
    <t>HN59</t>
  </si>
  <si>
    <t>Baby boom generation--United States.,Conflict of generations--United States.,Generation Y--United States.,Generations--United States.</t>
  </si>
  <si>
    <t>Taylor, Paul-Center, Pew Research.</t>
  </si>
  <si>
    <t>Australia's Asia</t>
  </si>
  <si>
    <t>From Yellow Peril to Asian Century</t>
  </si>
  <si>
    <t>UWA Publishing</t>
  </si>
  <si>
    <t>DU122.A73 A98 2012eb</t>
  </si>
  <si>
    <t>Asians--Australia--History.,Multiculturalism--Australia.</t>
  </si>
  <si>
    <t>Sobocinska, Agnieszka.-Walker, David</t>
  </si>
  <si>
    <t>Longman Handbook of Modern Irish History Since 1800</t>
  </si>
  <si>
    <t>DA950 .F48 2005</t>
  </si>
  <si>
    <t>O'Day, Alan.-Fleming, N. C.</t>
  </si>
  <si>
    <t>Longman Handbooks To History</t>
  </si>
  <si>
    <t>An Autobiography of John Muir</t>
  </si>
  <si>
    <t>BIOGRAPHY &amp; AUTOBIOGRAPHY / Environmentalists &amp; Naturalists</t>
  </si>
  <si>
    <t>QH31.M9</t>
  </si>
  <si>
    <t>Conservationists--United States--Biography.,Environmentalists--United States--Biography.,Naturalists--United States--Biography.</t>
  </si>
  <si>
    <t>Muir, John-Brennan, Stephen.</t>
  </si>
  <si>
    <t>The Sword of David</t>
  </si>
  <si>
    <t>The Israeli Air Force at War</t>
  </si>
  <si>
    <t>UG635.I75</t>
  </si>
  <si>
    <t>Aeronautics, Military--Israel--History.</t>
  </si>
  <si>
    <t>McCarthy, Donald J.</t>
  </si>
  <si>
    <t>Topgun Days</t>
  </si>
  <si>
    <t>Dogfighting, Cheating Death, and Hollywood Glory As One of America's Best Fighter Jocks</t>
  </si>
  <si>
    <t>TRANSPORTATION / Aviation / General</t>
  </si>
  <si>
    <t>UG626.2.B275</t>
  </si>
  <si>
    <t>Air pilots, Military--Training of--United States.,Fighter pilots--United States--Biography.,Tomcat (Jet fighter plane)</t>
  </si>
  <si>
    <t>Baranek, Dave ""Bio"".</t>
  </si>
  <si>
    <t>Elizabethan Seneca</t>
  </si>
  <si>
    <t>Three Tragedies</t>
  </si>
  <si>
    <t>PR655 .E45 2012eb</t>
  </si>
  <si>
    <t>English drama (Tragedy)--Roman influences.</t>
  </si>
  <si>
    <t>Winston, Jessica-Ker, James</t>
  </si>
  <si>
    <t>Historical Texts From Medieval Wales</t>
  </si>
  <si>
    <t>HISTORY / Europe / Great Britain / General</t>
  </si>
  <si>
    <t>DA715 .H37 2012eb</t>
  </si>
  <si>
    <t>Williams, Patricia.-Modern Humanities Research Association.</t>
  </si>
  <si>
    <t>Library of Medieval Welsh Literature</t>
  </si>
  <si>
    <t>Early Welsh Gnomic and Nature Poetry</t>
  </si>
  <si>
    <t>PB2227</t>
  </si>
  <si>
    <t>Gnomic poetry, Welsh--History and criticism.,Nature in literature.,Welsh poetry--To 1550--History and criticism.</t>
  </si>
  <si>
    <t>Jacobs, Nicolas.</t>
  </si>
  <si>
    <t>Bridal-quest Epics in Medieval Germany</t>
  </si>
  <si>
    <t>A Revisionary Approach</t>
  </si>
  <si>
    <t>PT202 .B69 2012eb</t>
  </si>
  <si>
    <t>Epic poetry, German--History and criticism.,Latin literature, Medieval and modern--Germany--History and criticism.</t>
  </si>
  <si>
    <t>Bowden, Sarah.</t>
  </si>
  <si>
    <t>Institute of Germanic and Romance Studies (University of London). Bithell Series of Dissertations</t>
  </si>
  <si>
    <t>Space in Theodor Fontane's Works</t>
  </si>
  <si>
    <t>Theme and Poetic Function</t>
  </si>
  <si>
    <t>LITERARY CRITICISM / European / German</t>
  </si>
  <si>
    <t>PT1863.Z7 W49 2012eb</t>
  </si>
  <si>
    <t>Space in literature.</t>
  </si>
  <si>
    <t>White, Michael James.</t>
  </si>
  <si>
    <t>Bithell Series of Dissertations / Institute of Germanic and Romance Studies (University of London).</t>
  </si>
  <si>
    <t>Private Lives and Collective Destinies</t>
  </si>
  <si>
    <t>Class, Nation and the Folk in the Works of Gustav Freytag (1816-1895)</t>
  </si>
  <si>
    <t>PT1873.Z5 S365 2012eb</t>
  </si>
  <si>
    <t>National characteristics, German, in literature.,Nationalism in literature.,Social classes in literature.</t>
  </si>
  <si>
    <t>Schofield, Benedict.</t>
  </si>
  <si>
    <t>Bithell Series of Dissertations / Institute of Germanic and Romance Studies</t>
  </si>
  <si>
    <t>Seeking Palestine</t>
  </si>
  <si>
    <t>New Palestinian Writing on Exile and Home</t>
  </si>
  <si>
    <t>BIOGRAPHY &amp; AUTOBIOGRAPHY / Political</t>
  </si>
  <si>
    <t>PJ8190.82.E5 S44 2013eb</t>
  </si>
  <si>
    <t>Arabic essays--Palestine.,Homeland in literature.</t>
  </si>
  <si>
    <t>Shehadeh, Raja-Johnson, Penny</t>
  </si>
  <si>
    <t>The Storyteller of Jerusalem: The Life and Times of Wasif Jawhariyyeh, 1904-1948</t>
  </si>
  <si>
    <t>ML420.J285</t>
  </si>
  <si>
    <t>Musicians--Jerusalem--Biography.</t>
  </si>
  <si>
    <t>JawhariÌ„yah, WaÌ„sÌ£if-Elzeer, Nada.-Nassar, Issam.-TamaÌ„riÌ„, SaliÌ„m.</t>
  </si>
  <si>
    <t>Splintering Silence</t>
  </si>
  <si>
    <t>African Books Collective</t>
  </si>
  <si>
    <t>Langaa RPCIG</t>
  </si>
  <si>
    <t>PR9381.9.I36 S757 2014</t>
  </si>
  <si>
    <t>Ikonya, Philo.</t>
  </si>
  <si>
    <t>Feeding Frenzy</t>
  </si>
  <si>
    <t>Land Grabs, Price Spikes, and the World Food Crisis</t>
  </si>
  <si>
    <t>POLITICAL SCIENCE / Geopolitics</t>
  </si>
  <si>
    <t>HD1417 .M363 2014eb</t>
  </si>
  <si>
    <t>Agriculture--Economic aspects--Developing countries.,Food security.,Food supply.,Food supply--Developing countries.</t>
  </si>
  <si>
    <t>McMahon, Paul-Sullivan, Jessica</t>
  </si>
  <si>
    <t>Imaginary Portraits</t>
  </si>
  <si>
    <t>PR5134</t>
  </si>
  <si>
    <t>Courts and courtiers--Fiction.</t>
  </si>
  <si>
    <t>Pater, Walter.</t>
  </si>
  <si>
    <t>Making of Jorge Luis Borges As an Argentine Cultural Icon</t>
  </si>
  <si>
    <t>LITERARY CRITICISM / Caribbean &amp; Latin American</t>
  </si>
  <si>
    <t>PQ7797.B635</t>
  </si>
  <si>
    <t>National characteristics, Argentine.</t>
  </si>
  <si>
    <t>O'Ryan, Mariana Casale</t>
  </si>
  <si>
    <t>MHRA Texts and Dissertations</t>
  </si>
  <si>
    <t>America</t>
  </si>
  <si>
    <t>Imagine a World Without Her</t>
  </si>
  <si>
    <t>JA75.7</t>
  </si>
  <si>
    <t>Civilization, Modern--American influences.,National characteristics, American.,Political culture--United States.</t>
  </si>
  <si>
    <t>D'Souza, Dinesh</t>
  </si>
  <si>
    <t>Practical Lessons in Endodontic Treatment</t>
  </si>
  <si>
    <t>RK351 .P73 2009eb</t>
  </si>
  <si>
    <t>Endodontics.</t>
  </si>
  <si>
    <t>Arens, Donald E.</t>
  </si>
  <si>
    <t>Tudor and Stuart Britain</t>
  </si>
  <si>
    <t>1485-1714</t>
  </si>
  <si>
    <t>DA300 .L6 2014eb</t>
  </si>
  <si>
    <t>Lockyer, Roger</t>
  </si>
  <si>
    <t>As You Like It or a Little Bit of the Unusual</t>
  </si>
  <si>
    <t>M-Y EBooks Hertford Ltd</t>
  </si>
  <si>
    <t>New Generation Publishing</t>
  </si>
  <si>
    <t>TX910.5.R44</t>
  </si>
  <si>
    <t>Caterers and catering--Great Britain--Biography.</t>
  </si>
  <si>
    <t>Reed, June Thomas</t>
  </si>
  <si>
    <t>Vertical Living</t>
  </si>
  <si>
    <t>The Architectural Centre and the Remaking of Wellington</t>
  </si>
  <si>
    <t>NA1607.W4</t>
  </si>
  <si>
    <t>Architecture--New Zealand--Wellington--History--20th century.</t>
  </si>
  <si>
    <t>Gatley, Julia.-Walker, Paul</t>
  </si>
  <si>
    <t>Progress in Epileptic Spasms and West Syndrome</t>
  </si>
  <si>
    <t>John Libbey Eurotext</t>
  </si>
  <si>
    <t>John Libbey</t>
  </si>
  <si>
    <t>RC372</t>
  </si>
  <si>
    <t>Epilepsy in children--Research.,Epilepsy--Research.</t>
  </si>
  <si>
    <t>Guerrini, Renzo.-Dalla Bernardina, Bernardo.-Guzzetta, Franco.</t>
  </si>
  <si>
    <t>Progress in Epileptic Disorders</t>
  </si>
  <si>
    <t>Event-related Potentials in Patients with Epilepsy</t>
  </si>
  <si>
    <t>From Current State to Future Prospects</t>
  </si>
  <si>
    <t>RC386.6.E86</t>
  </si>
  <si>
    <t>Cognition.,Epilepsy--Research.,Evoked potentials (Electrophysiology),Neuropsychology.</t>
  </si>
  <si>
    <t>Ikeda, Akio.-Inoue, Yushi.</t>
  </si>
  <si>
    <t>Neurology of the Infant</t>
  </si>
  <si>
    <t>MEDICAL / Gynecology &amp; Obstetrics</t>
  </si>
  <si>
    <t>RJ486 .N48 2009eb</t>
  </si>
  <si>
    <t>Pediatric neurology.</t>
  </si>
  <si>
    <t>Guzzetta, Francesco.</t>
  </si>
  <si>
    <t>Mariani Foundation Paediatric Neurology Series</t>
  </si>
  <si>
    <t>Perinatal Brain Damage</t>
  </si>
  <si>
    <t>From Pathogenesis to Neuroprotection</t>
  </si>
  <si>
    <t>RG629.B73 P47 2008eb</t>
  </si>
  <si>
    <t>Brain-damaged children.,Fetal brain--Abnormalities.</t>
  </si>
  <si>
    <t>Mercuri, Eugenio.-Evrard, Philippe-Ramenghi, Luca A.</t>
  </si>
  <si>
    <t>Movement Disorders in Children</t>
  </si>
  <si>
    <t>A Clinical Update with Video Recordings</t>
  </si>
  <si>
    <t>RJ496 .M68 M68 2007</t>
  </si>
  <si>
    <t>Movement disorders in children.</t>
  </si>
  <si>
    <t>Nardocci, N.-FernaÌndez-Alvarez, E.</t>
  </si>
  <si>
    <t>Neurocutaneous Syndromes in Children</t>
  </si>
  <si>
    <t>RL701 .N48 2006eb</t>
  </si>
  <si>
    <t>Neurocutaneous disorders.,Skin--Diseases.</t>
  </si>
  <si>
    <t>Curatolo, P.-Riva, D.</t>
  </si>
  <si>
    <t>Neurodevelopmental Disorders</t>
  </si>
  <si>
    <t>Cognitive/behavioural Phenotypes</t>
  </si>
  <si>
    <t>RJ506.D47</t>
  </si>
  <si>
    <t>Children--Diseases.,Nervous system--Diseases.,Pediatric neurology.</t>
  </si>
  <si>
    <t>Denckla, Martha B.-Bellugi, Ursula-Riva, Daria</t>
  </si>
  <si>
    <t>Subthalamic and Thalamic Stereotactic Recordings and Stimulations in Patients with Intractable Epilepsy</t>
  </si>
  <si>
    <t>RC372 .W54 2008eb</t>
  </si>
  <si>
    <t>Epilepsy.</t>
  </si>
  <si>
    <t>Wieser, Heinz Gregor.-Zumsteg, Dominik.</t>
  </si>
  <si>
    <t>Generalized Seizures</t>
  </si>
  <si>
    <t>From Clinical Phenomenology to Underlying Systems and Networks</t>
  </si>
  <si>
    <t>RC372 .H57 2006eb</t>
  </si>
  <si>
    <t>Convulsions.,Epilepsy--Research.</t>
  </si>
  <si>
    <t>Hirsch, Edouard.</t>
  </si>
  <si>
    <t>Journey Into the Heart of Bipolarity</t>
  </si>
  <si>
    <t>An Artistic Point of View</t>
  </si>
  <si>
    <t>RC516 .N87 2005eb</t>
  </si>
  <si>
    <t>Art and mental illness--Case studies.,Manic-depressive illness--Case studies.,Mental illness--Case studies.</t>
  </si>
  <si>
    <t>Nuss, Philippe.-TheÌvenin, Maud.-Bath, Jean-Paul.-Sellier, Marie.</t>
  </si>
  <si>
    <t>Reflex Epilepsies</t>
  </si>
  <si>
    <t>Progress in Understanding</t>
  </si>
  <si>
    <t>RC372 .R44 2004eb</t>
  </si>
  <si>
    <t>Zifkin, Benjamin.-Inoue, Yushi.-Wolf, Peter.</t>
  </si>
  <si>
    <t>Current Problems in Epilepsy Series</t>
  </si>
  <si>
    <t>Childhood Deployed</t>
  </si>
  <si>
    <t>Remaking Child Soldiers in Sierra Leone</t>
  </si>
  <si>
    <t>UB418.C45 S44 2014</t>
  </si>
  <si>
    <t>Child soldiers--Sierra Leone.,Child soldiers--Sierra Leone--Reintegration.,Children and war--Sierra Leone.</t>
  </si>
  <si>
    <t>Shepler, Susan</t>
  </si>
  <si>
    <t>Fabricating the Absolute Fake - Revised Edition</t>
  </si>
  <si>
    <t>E169.12 .K66 2013</t>
  </si>
  <si>
    <t>Civilization--American influences.,Popular culture--Netherlands.,Popular culture--United States.</t>
  </si>
  <si>
    <t>Kooijman, Jaap</t>
  </si>
  <si>
    <t>Improvising Cinema</t>
  </si>
  <si>
    <t>PN1995.9.E96 M6514 2013eb</t>
  </si>
  <si>
    <t>Documentary films--History and criticism.,Experimental films--History and criticism.,Improvisation (Acting),Motion pictures--History.</t>
  </si>
  <si>
    <t>MoueÌˆllic, Gilles.</t>
  </si>
  <si>
    <t>Film Culture in Transition</t>
  </si>
  <si>
    <t>Tantalisingly Close</t>
  </si>
  <si>
    <t>An Archaeology of Communication Desires in Discourses of Mobile Wireless Media</t>
  </si>
  <si>
    <t>P90 .D4 2012eb</t>
  </si>
  <si>
    <t>Mass media.,Mobile communication systems.,Wireless communication systems.</t>
  </si>
  <si>
    <t>De Vries, Imar O.</t>
  </si>
  <si>
    <t>MediaMatters Series</t>
  </si>
  <si>
    <t>Customer Innovation</t>
  </si>
  <si>
    <t>Customer-centric Strategy for Enduring Growth</t>
  </si>
  <si>
    <t>BUSINESS &amp; ECONOMICS / Customer Relations</t>
  </si>
  <si>
    <t>HF5415.5 .D43 2014eb</t>
  </si>
  <si>
    <t>Customer relations.,Customer services.,Strategic planning.</t>
  </si>
  <si>
    <t>Debruyne, Marion.</t>
  </si>
  <si>
    <t>Preserving and Exhibiting Media Art</t>
  </si>
  <si>
    <t>PN1995</t>
  </si>
  <si>
    <t>Art--Exhibition techniques.,Computer art--Preservation.,Motion picture film--Preservation.,Multimedia (Art)--Preservation.,New media art--Preservation.</t>
  </si>
  <si>
    <t>Noordegraaf, Julia-Saba, Cosetta G.-Le MaiÌ‚tre, Barbara-Hediger, Vinzenz</t>
  </si>
  <si>
    <t>E-waste</t>
  </si>
  <si>
    <t>Implications, Regulations, and Management in India and Current Global Best Practices</t>
  </si>
  <si>
    <t>TERI Press</t>
  </si>
  <si>
    <t>The Energy and Resources Institute</t>
  </si>
  <si>
    <t>TD799.85 .E38 2008eb</t>
  </si>
  <si>
    <t>Electronic apparatus and appliances--Environmental aspects--India.,Electronic waste--India--Management.,Electronic waste--Recycling--India.</t>
  </si>
  <si>
    <t>Johri, Rakesh.-Energy and Resources Institute.</t>
  </si>
  <si>
    <t>Ordinary Mind</t>
  </si>
  <si>
    <t>Exploring the Common Ground of Zen and Psychoanalysis</t>
  </si>
  <si>
    <t>PHILOSOPHY / Zen</t>
  </si>
  <si>
    <t>BQ4570.P76 M35 2005eb</t>
  </si>
  <si>
    <t>Buddhism and psychoanalysis.,Zen Buddhism--Doctrines.</t>
  </si>
  <si>
    <t>Magid, Barry</t>
  </si>
  <si>
    <t>Feminist Rereadings of Rabbinic Literature</t>
  </si>
  <si>
    <t>BM496.9.W7</t>
  </si>
  <si>
    <t>Feminism--Religious aspects--Judaism.,Women in Judaism.,Women in rabbinical literature.</t>
  </si>
  <si>
    <t>RavÌ£eh, Ê»Inbar.-Fish, Kaeren.</t>
  </si>
  <si>
    <t>HBI Series on Jewish Women</t>
  </si>
  <si>
    <t>Dirigible Dreams</t>
  </si>
  <si>
    <t>The Age of the Airship</t>
  </si>
  <si>
    <t>TRANSPORTATION / General</t>
  </si>
  <si>
    <t>TL650 .H53 2014</t>
  </si>
  <si>
    <t>Airships--History.</t>
  </si>
  <si>
    <t>Hiam, C. Michael.</t>
  </si>
  <si>
    <t>A Halfway House for Women</t>
  </si>
  <si>
    <t>Oppression and Resistance</t>
  </si>
  <si>
    <t>SOCIAL SCIENCE / Penology</t>
  </si>
  <si>
    <t>HV9304 .C3195 2014</t>
  </si>
  <si>
    <t>Corrections--United States.,Female offenders--Rehabilitation--United States.,Halfway houses--United States.,Prisoners--Deinstitutionalization--United States.</t>
  </si>
  <si>
    <t>Caputo, Gail A.</t>
  </si>
  <si>
    <t>Northeastern Series on Gender, Crime, and Law</t>
  </si>
  <si>
    <t>Jazz and Culture in a Global Age</t>
  </si>
  <si>
    <t>ML3506 .N515 2014</t>
  </si>
  <si>
    <t>Jazz--History and criticism.,Music and globalization.</t>
  </si>
  <si>
    <t>Nicholson, Stuart.</t>
  </si>
  <si>
    <t>Ivy League Athletes</t>
  </si>
  <si>
    <t>Profiles in Excellence at Americaâ€™s Most Competitive Schools</t>
  </si>
  <si>
    <t>SPORTS &amp; RECREATION / History</t>
  </si>
  <si>
    <t>GV697.A1 M272 2014</t>
  </si>
  <si>
    <t>College athletes--United States--Biography.</t>
  </si>
  <si>
    <t>Maiorana, Sal</t>
  </si>
  <si>
    <t>Children Living in Poverty</t>
  </si>
  <si>
    <t>RA418.5.P6</t>
  </si>
  <si>
    <t>Poor children.,Poverty--Health aspects.,Poverty--Health aspects--Australia.,Poverty--Social aspects.,Poverty--Social aspects--Australia.</t>
  </si>
  <si>
    <t>Dark Emu</t>
  </si>
  <si>
    <t>Black Seeds Agriculture or Accident?</t>
  </si>
  <si>
    <t>University of New South Wales Press</t>
  </si>
  <si>
    <t>Magabala Books</t>
  </si>
  <si>
    <t>BUSINESS &amp; ECONOMICS / Industries / General</t>
  </si>
  <si>
    <t>GN21</t>
  </si>
  <si>
    <t>Aboriginal Australians--Agriculture.,Aboriginal Australians--Antiquities.,Aboriginal Australians--Social life and customs.,Hunting and gathering societies--Australia.,Land use, Rural--Australia.</t>
  </si>
  <si>
    <t>Pascoe, Bruce</t>
  </si>
  <si>
    <t>Mathematics for Engineers IV</t>
  </si>
  <si>
    <t>Numerics</t>
  </si>
  <si>
    <t>TA330 .B38 2010eb</t>
  </si>
  <si>
    <t>Engineering mathematics.</t>
  </si>
  <si>
    <t>Baumann, Gerd</t>
  </si>
  <si>
    <t>Mathematics for Engineers</t>
  </si>
  <si>
    <t>Maranga Mai! Te Reo and Marae in Crisis?</t>
  </si>
  <si>
    <t>PL6465</t>
  </si>
  <si>
    <t>Maori (New Zealand people)--Attitudes.,Maori language.</t>
  </si>
  <si>
    <t>Kawharu, Merata</t>
  </si>
  <si>
    <t>Constructing Feminine Poetics in the Works of a Late-20th-century Catalan Woman Poet</t>
  </si>
  <si>
    <t>Maria-MerceÌ€ MarcÌ§al</t>
  </si>
  <si>
    <t>PQ6085</t>
  </si>
  <si>
    <t>Spanish poetry--20th century--History and criticism.</t>
  </si>
  <si>
    <t>Vicedo, NoeÌ€lia DiÌaz.</t>
  </si>
  <si>
    <t>Texts and Dissertations</t>
  </si>
  <si>
    <t>Narrative Structure and Philosophical Debates in Tristram Shandy and Jacques Le Fataliste</t>
  </si>
  <si>
    <t>PN49</t>
  </si>
  <si>
    <t>Philosophy in literature.</t>
  </si>
  <si>
    <t>Whiskin, Margaux Elizabeth</t>
  </si>
  <si>
    <t>Ovid in English, 1480-1625</t>
  </si>
  <si>
    <t>POETRY / Ancient &amp; Classical</t>
  </si>
  <si>
    <t>PA6522</t>
  </si>
  <si>
    <t>Latin poetry--Translations into English.</t>
  </si>
  <si>
    <t>Taylor, Andrew-Brown, Sarah Annes-Modern Humanities Research Association</t>
  </si>
  <si>
    <t>The Spanish Bawd</t>
  </si>
  <si>
    <t>PQ6427</t>
  </si>
  <si>
    <t>Spanish drama--To 1500.,Spanish drama--Translations into English.</t>
  </si>
  <si>
    <t>Mabbe, James-PeÌrez FernaÌndez, JoseÌ MariÌa</t>
  </si>
  <si>
    <t>The Birdsong Papers</t>
  </si>
  <si>
    <t>PT2451</t>
  </si>
  <si>
    <t>German fiction--19th century.,German language--Readers.</t>
  </si>
  <si>
    <t>Raabe, Wilhelm-Ritterson, Michael</t>
  </si>
  <si>
    <t>Modern Humanities Research Association New Translations</t>
  </si>
  <si>
    <t>English Renaissance Translation Theory</t>
  </si>
  <si>
    <t>LANGUAGE ARTS &amp; DISCIPLINES / General</t>
  </si>
  <si>
    <t>PE1498</t>
  </si>
  <si>
    <t>Classical literature--Translations--16th century--History and criticism.,English language--Translating--England--16th century--History and criticism.,Translating and interpreting--England--16th century--History and criticism.</t>
  </si>
  <si>
    <t>Wilson, Louise-Kendal, Gordon-Rhodes, Neil</t>
  </si>
  <si>
    <t>The Prose of Sasha Sokolov</t>
  </si>
  <si>
    <t>Reflections On/of the Real</t>
  </si>
  <si>
    <t>LITERARY CRITICISM / Russian &amp; Former Soviet Union</t>
  </si>
  <si>
    <t>PG3549.S64</t>
  </si>
  <si>
    <t>Kravchenko, E. I.</t>
  </si>
  <si>
    <t>Narrative and National Allegory in Romulo Gallegos's Venezuela</t>
  </si>
  <si>
    <t>LITERARY CRITICISM / European / Spanish &amp; Portuguese</t>
  </si>
  <si>
    <t>PQ8549.G24</t>
  </si>
  <si>
    <t>Nationalism in literature.,Venezuelan literature--History and criticism.</t>
  </si>
  <si>
    <t>Lehtinen, Jenni M.</t>
  </si>
  <si>
    <t>Time in the Philosophy of Gabriel Marcel</t>
  </si>
  <si>
    <t>B2430.M254 T38 2013eb</t>
  </si>
  <si>
    <t>Time--Philosophy.</t>
  </si>
  <si>
    <t>Tattam, Helen.-Modern Humanities Research Association.</t>
  </si>
  <si>
    <t>The Signifying Self</t>
  </si>
  <si>
    <t>Cervantine Drama As Counter-perspective Aesthetic</t>
  </si>
  <si>
    <t>PQ6351 .H46 2013eb</t>
  </si>
  <si>
    <t>Henry, Melanie-Modern Humanities Research Association.</t>
  </si>
  <si>
    <t>Phantom Images</t>
  </si>
  <si>
    <t>The Figure of the Ghost in the Work of Christa Wolf and Irina Liebmann</t>
  </si>
  <si>
    <t>PT2685.O36</t>
  </si>
  <si>
    <t>Ghosts in literature.</t>
  </si>
  <si>
    <t>Smale, Catherine-Modern Humanities Research Association.</t>
  </si>
  <si>
    <t>Bithell Series of Dissertations</t>
  </si>
  <si>
    <t>Frontier Memory</t>
  </si>
  <si>
    <t>Cultural Conflict and Exchange in the Romancero Fronterizo</t>
  </si>
  <si>
    <t>PQ6090 .Y5 2013eb</t>
  </si>
  <si>
    <t>Ballads, Spanish--History and criticism.,Spanish poetry--Classical period, 1500-1700--History and criticism.</t>
  </si>
  <si>
    <t>Yiacoup, SÌ§izen Taner</t>
  </si>
  <si>
    <t>Texts and Dissertations (Modern Humanities Research Association)</t>
  </si>
  <si>
    <t>Approaches to World Literature</t>
  </si>
  <si>
    <t>De Gruyter Akademie Forschung</t>
  </si>
  <si>
    <t>PN441</t>
  </si>
  <si>
    <t>Literature--History and criticism--Congresses.</t>
  </si>
  <si>
    <t>KuÌˆpper, Joachim.</t>
  </si>
  <si>
    <t>WeltLiteraturen / World Literatures</t>
  </si>
  <si>
    <t>Organizing Archival Records</t>
  </si>
  <si>
    <t>A Practical Method of Arrangement and Description for Small Archives</t>
  </si>
  <si>
    <t>Rowman &amp; Littlefield Publishing Group, Inc.</t>
  </si>
  <si>
    <t>Rowman &amp; Littlefield Publishers</t>
  </si>
  <si>
    <t>BUSINESS &amp; ECONOMICS / Museum Administration &amp; Museology</t>
  </si>
  <si>
    <t>CD950 .C37 2012eb</t>
  </si>
  <si>
    <t>Archives--Handbooks, manuals, etc.,Cataloging of archival materials--Handbooks, manuals, etc.</t>
  </si>
  <si>
    <t>Carmicheal, David W.</t>
  </si>
  <si>
    <t>American Association for State and Local History Book Series</t>
  </si>
  <si>
    <t>Essentials of Physical Health in Psychiatry</t>
  </si>
  <si>
    <t>RC570.2</t>
  </si>
  <si>
    <t>People with mental disabilities--Medical care.,Psychophysiology.</t>
  </si>
  <si>
    <t>Cormac, Irene.-Gray, David</t>
  </si>
  <si>
    <t>Clinical Topics in Child and Adolescent Psychiatry</t>
  </si>
  <si>
    <t>RJ499</t>
  </si>
  <si>
    <t>Adolescent psychiatry.,Child psychiatry.</t>
  </si>
  <si>
    <t>Huline-Dickens, Sarah</t>
  </si>
  <si>
    <t>Mainstream Culture Refocused</t>
  </si>
  <si>
    <t>Television Drama, Society, and the Production of Meaning in Reform-Era China</t>
  </si>
  <si>
    <t>University of Hawai'i</t>
  </si>
  <si>
    <t>University of Hawaii Press</t>
  </si>
  <si>
    <t>ART / Asian / General</t>
  </si>
  <si>
    <t>PL2368.T44 Z46 2010</t>
  </si>
  <si>
    <t>Popular culture--China.,Television plays, Chinese--History and criticism.,Television--Social aspects--China.</t>
  </si>
  <si>
    <t>Zhong, Xueping</t>
  </si>
  <si>
    <t>Crisis and Form in the Later Writing of Ingeborg Bachmann</t>
  </si>
  <si>
    <t>An Aesthetic Examination of the Poetic Drafts of the 1960s</t>
  </si>
  <si>
    <t>PT2603.A147 Z5 2012eb</t>
  </si>
  <si>
    <t>Authors, Austrian--20th century.</t>
  </si>
  <si>
    <t>McMurtry, AÌine</t>
  </si>
  <si>
    <t>Bithell Series of Dissertations / Institute of Germanic and Romance Studies (University of London)</t>
  </si>
  <si>
    <t>The Market in Babies</t>
  </si>
  <si>
    <t>A History of Adoption in Australia</t>
  </si>
  <si>
    <t>HV875</t>
  </si>
  <si>
    <t>Adoption--Australia--History.,Intercountry adoption--Australia--History.,Interracial adoption--Australia--History.,Wrongful adoption--Australia--History.</t>
  </si>
  <si>
    <t>Cuthbert, Denise-Quartly, Marian-Swain, Shurlee</t>
  </si>
  <si>
    <t>Anzac Memories</t>
  </si>
  <si>
    <t>Living with the Legend</t>
  </si>
  <si>
    <t>D568.3 .T46 2013eb</t>
  </si>
  <si>
    <t>National characteristics, Australian.,Soldiers--Australia--Interviews.,Veterans--Australia.,World War, 1914-1918--Australia--Historiography.,World War, 1914-1918--Campaigns--Turkey--Gallipoli Peninsula.,World War, 1914-1918--Personal narratives, Australian.</t>
  </si>
  <si>
    <t>Thomson, Alistair.</t>
  </si>
  <si>
    <t>Dilemmas of Adulthood</t>
  </si>
  <si>
    <t>Japanese Women and the Nuances of Long-Term Resistance</t>
  </si>
  <si>
    <t>HQ1762 .R677 2014</t>
  </si>
  <si>
    <t>Self-perception in women--Japan--Longitudinal studies.,Women--Japan--Longitudinal studies.</t>
  </si>
  <si>
    <t>Rosenberger, Nancy Ross</t>
  </si>
  <si>
    <t>Cybertypes</t>
  </si>
  <si>
    <t>Race, Ethnicity, and Identity on the Internet</t>
  </si>
  <si>
    <t>HT1523</t>
  </si>
  <si>
    <t>Cyberspace--Social aspects.,Internet--Social aspects.,Race awareness.,Race discrimination.</t>
  </si>
  <si>
    <t>Nakamura, Lisa.</t>
  </si>
  <si>
    <t>New Multicultural Identities in Europe</t>
  </si>
  <si>
    <t>Religion and Ethnicity in Secular Societies</t>
  </si>
  <si>
    <t>D1056.2.M87</t>
  </si>
  <si>
    <t>Muslims--Cultural assimilation--Europe.,Muslims--Europe--Social conditions.</t>
  </si>
  <si>
    <t>Sezgin, IÌ‡smail Mesut, editor of compilation.-Leman, Johan, editor of compilation.-Toguslu, Erkan</t>
  </si>
  <si>
    <t>Virtues for the People</t>
  </si>
  <si>
    <t>Aspects of Plutarchan Ethics</t>
  </si>
  <si>
    <t>PA4382 .V57 2011eb</t>
  </si>
  <si>
    <t>Stockt, L. Van der.-Roskam, Geert.</t>
  </si>
  <si>
    <t>Plutarchea Hypomnemata</t>
  </si>
  <si>
    <t>Gender and Christianity in Modern Europe</t>
  </si>
  <si>
    <t>Beyond the Feminization Thesis</t>
  </si>
  <si>
    <t>BT701.3 .B49 2012eb</t>
  </si>
  <si>
    <t>Masculinity--Europe--Religious aspects.,Masculinity--Religious aspects--Christianity.,Sex role--Religious aspects--Catholic Church--Case studies.,Sex role--Religious aspects--Christianity--Case studies.,Theological anthropology--Christianity.,Women--Europe--Religious aspects.,Women--Religious aspects--Christianity.</t>
  </si>
  <si>
    <t>Pasture, Patrick-Buerman, Thomas-Art, Jan</t>
  </si>
  <si>
    <t>KADOC Studies on Religion, Culture and Society</t>
  </si>
  <si>
    <t>Epilepsy and Migraine</t>
  </si>
  <si>
    <t>MEDICAL / Internal Medicine</t>
  </si>
  <si>
    <t>Epilepsy.,Migraine.</t>
  </si>
  <si>
    <t>Current Problems in Epilepsy</t>
  </si>
  <si>
    <t>The Commonplace Odes</t>
  </si>
  <si>
    <t>PR9635.25 .W43 2001eb</t>
  </si>
  <si>
    <t>Wedde, Ian.</t>
  </si>
  <si>
    <t>Settlers</t>
  </si>
  <si>
    <t>New Zealand Immigrants From England, Ireland &amp; Scotland 1800â€“1945</t>
  </si>
  <si>
    <t>DU424.5.B75 P47 2008eb</t>
  </si>
  <si>
    <t>Immigrants--New Zealand--History.</t>
  </si>
  <si>
    <t>Phillips, Jock.-Hearn, T. J.</t>
  </si>
  <si>
    <t>AUP Studies in Cultural and Social Histo</t>
  </si>
  <si>
    <t>Collected Poems, 1951â€“2006: C. K. Stead</t>
  </si>
  <si>
    <t>PR9639.3.S7 Ai 2008eb</t>
  </si>
  <si>
    <t>Stead, C. K.</t>
  </si>
  <si>
    <t>Snowing Down South</t>
  </si>
  <si>
    <t>Poems by Janet Charman</t>
  </si>
  <si>
    <t>PR9639.3.C517 S6 2002eb</t>
  </si>
  <si>
    <t>Charman, Janet.</t>
  </si>
  <si>
    <t>Three Regrets and a Hymn to Beauty</t>
  </si>
  <si>
    <t>PR9639.3.W36 T48 2005eb</t>
  </si>
  <si>
    <t>English poetry--New Zealand--21st century.</t>
  </si>
  <si>
    <t>Valparaiso</t>
  </si>
  <si>
    <t>PR9639.3.O67 V35 2002eb</t>
  </si>
  <si>
    <t>Orr, Bob</t>
  </si>
  <si>
    <t>Chronicle of the Unsung</t>
  </si>
  <si>
    <t>PR9619.4.E36</t>
  </si>
  <si>
    <t>Authors, New Zealand--20th century--Biography.</t>
  </si>
  <si>
    <t>Edmond, Martin.</t>
  </si>
  <si>
    <t>Something for the Birds</t>
  </si>
  <si>
    <t>BIOGRAPHY &amp; AUTOBIOGRAPHY / Artists, Architects, Photographers</t>
  </si>
  <si>
    <t>ND1108.F34 A2 2012eb</t>
  </si>
  <si>
    <t>Painters--New Zealand--Biography.</t>
  </si>
  <si>
    <t>Fahey, Jacqueline.</t>
  </si>
  <si>
    <t>Mirabile Dictu</t>
  </si>
  <si>
    <t>PR9639.3.L45 M57 2009eb</t>
  </si>
  <si>
    <t>New Zealand poetry--21st century.,New Zealand poetry--Women authors.</t>
  </si>
  <si>
    <t>Leggott, Michele J.</t>
  </si>
  <si>
    <t>Young Knowledge</t>
  </si>
  <si>
    <t>Poems of Robin Hyde</t>
  </si>
  <si>
    <t>PR9639.3.H94 A17 2003eb</t>
  </si>
  <si>
    <t>Hyde, Robin-Leggott, Michele J.</t>
  </si>
  <si>
    <t>Walking to Africa</t>
  </si>
  <si>
    <t>PR9639.4.L43 W35 2009eb</t>
  </si>
  <si>
    <t>Mental illness--Poetry.,Mentally ill--Poetry.</t>
  </si>
  <si>
    <t>Le Bas, Jessica.</t>
  </si>
  <si>
    <t>Brief Lives</t>
  </si>
  <si>
    <t>PR9639.4.P75 B75 2006eb</t>
  </si>
  <si>
    <t>New Zealand literature--20th century.</t>
  </si>
  <si>
    <t>Price, Chris</t>
  </si>
  <si>
    <t>Rapunzel, Rapunzel</t>
  </si>
  <si>
    <t>PR9639.3.C517 R36 1999eb</t>
  </si>
  <si>
    <t>Incognito</t>
  </si>
  <si>
    <t>PR9639.4.L43 I53 2007eb</t>
  </si>
  <si>
    <t>The Resurrection of Philip Clairmont</t>
  </si>
  <si>
    <t>ND1108.C58 E36 1999eb</t>
  </si>
  <si>
    <t>Crosswind</t>
  </si>
  <si>
    <t>PR9639.3.G733 C76 2004eb</t>
  </si>
  <si>
    <t>Green, Paula</t>
  </si>
  <si>
    <t>Whaikorero</t>
  </si>
  <si>
    <t>The World of Maori Oratory</t>
  </si>
  <si>
    <t>PL6465 .R49 2010eb</t>
  </si>
  <si>
    <t>Maori language--Rhetoric.,Maori language--Spoken Maori.,Speeches, addresses, etc., Maori.</t>
  </si>
  <si>
    <t>Rewi, Poia.</t>
  </si>
  <si>
    <t>The Time of the Giants</t>
  </si>
  <si>
    <t>PR9619.3.K475 T56 2005eb</t>
  </si>
  <si>
    <t>Kennedy, Anne</t>
  </si>
  <si>
    <t>Husk</t>
  </si>
  <si>
    <t>Poems by Chris Price</t>
  </si>
  <si>
    <t>PR9639.3.P753 H8 2002eb</t>
  </si>
  <si>
    <t>Star Waka</t>
  </si>
  <si>
    <t>Poems by Robert Sullivan</t>
  </si>
  <si>
    <t>PR9639.3.S88 S7 1999eb</t>
  </si>
  <si>
    <t>Sullivan, Robert</t>
  </si>
  <si>
    <t>Korero Tahi</t>
  </si>
  <si>
    <t>Talking Together</t>
  </si>
  <si>
    <t>LANGUAGE ARTS &amp; DISCIPLINES / Speech &amp; Pronunciation</t>
  </si>
  <si>
    <t>DU423.S63 M48 2001eb</t>
  </si>
  <si>
    <t>Discussion.,Maori (New Zealand people)--Social life and customs.,Meetings--New Zealand.</t>
  </si>
  <si>
    <t>Metge, Joan-Te MaÌ„taÌ„hauariki Institute.</t>
  </si>
  <si>
    <t>Tuamaka</t>
  </si>
  <si>
    <t>The Challenge of Difference in Aotearoa New Zealand</t>
  </si>
  <si>
    <t>DU422.5 .M47 2010eb</t>
  </si>
  <si>
    <t>Intercultural communication--New Zealand.,Maori (New Zealand people)</t>
  </si>
  <si>
    <t>Chrome</t>
  </si>
  <si>
    <t>Poems by Paula Green</t>
  </si>
  <si>
    <t>PR9639.3.G733 C47 2000eb</t>
  </si>
  <si>
    <t>The Pop-up Book of Invasions</t>
  </si>
  <si>
    <t>PR9639.3.P55 P67 2007eb</t>
  </si>
  <si>
    <t>Farrell, Fiona</t>
  </si>
  <si>
    <t>The Blind Singer</t>
  </si>
  <si>
    <t>PR9639.4.P75 B55 2009eb</t>
  </si>
  <si>
    <t>Being Maori Chinese</t>
  </si>
  <si>
    <t>Mixed Identities</t>
  </si>
  <si>
    <t>DU423.E85 I6 2008eb</t>
  </si>
  <si>
    <t>Chinese--New Zealand--Ethnic identity.,Maori (New Zealand people)--Ethnic identity.</t>
  </si>
  <si>
    <t>Ip, Manying</t>
  </si>
  <si>
    <t>Tahuhu Korero</t>
  </si>
  <si>
    <t>The Sayings of Taitokerau</t>
  </si>
  <si>
    <t>PN6519.M35 K39 2008eb</t>
  </si>
  <si>
    <t>Proverbs, Maori--New Zealand--Auckland.,Proverbs, Maori--New Zealand--Northland.</t>
  </si>
  <si>
    <t>Kawharu, Merata.-Pfeiffer, Krzysztof.</t>
  </si>
  <si>
    <t>Walls to Kick and Hills to Sing From</t>
  </si>
  <si>
    <t>A Comedy with Interruptions</t>
  </si>
  <si>
    <t>PR9639.3.E4 W35 2010eb</t>
  </si>
  <si>
    <t>Edmond, Murray</t>
  </si>
  <si>
    <t>Book Self</t>
  </si>
  <si>
    <t>The Reader As Writer and the Writer As Critic</t>
  </si>
  <si>
    <t>LITERARY CRITICISM / Australian &amp; Oceanian</t>
  </si>
  <si>
    <t>PR9639.3.S7 Z47 2008</t>
  </si>
  <si>
    <t>Authorship.,Criticism--New Zealand.,Critics--New Zealand--Biography.,New Zealand literature--20th century--History and criticism.</t>
  </si>
  <si>
    <t>Boys' Night Out</t>
  </si>
  <si>
    <t>PR9639.3.F74 B69 1998eb</t>
  </si>
  <si>
    <t>British poetry--20th century.</t>
  </si>
  <si>
    <t>French, Anne</t>
  </si>
  <si>
    <t>The Pastoral Kitchen</t>
  </si>
  <si>
    <t>Poems by Anna Jackson</t>
  </si>
  <si>
    <t>PR9639.3.J22 P37 2001eb</t>
  </si>
  <si>
    <t>Jackson, Anna</t>
  </si>
  <si>
    <t>Cold Snack</t>
  </si>
  <si>
    <t>PR9639.3.C517 C65 2007eb</t>
  </si>
  <si>
    <t>Voice Carried My Family</t>
  </si>
  <si>
    <t>POETRY / Asian / General</t>
  </si>
  <si>
    <t>PR9639.3.S88 V65 2005eb</t>
  </si>
  <si>
    <t>English poetry--21st century.</t>
  </si>
  <si>
    <t>The Gas Leak</t>
  </si>
  <si>
    <t>PR9639.3.J22 G37 2006eb</t>
  </si>
  <si>
    <t>Families--Poetry.</t>
  </si>
  <si>
    <t>The Lark Quartet</t>
  </si>
  <si>
    <t>Poems by Elizabeth Smither</t>
  </si>
  <si>
    <t>PR9639.3.S54 L37 1999eb</t>
  </si>
  <si>
    <t>Smither, Elizabeth</t>
  </si>
  <si>
    <t>Sing-song</t>
  </si>
  <si>
    <t>PR9619.3.K475 S56 2003eb</t>
  </si>
  <si>
    <t>The Warm Winds of Change</t>
  </si>
  <si>
    <t>Globalisation in Contemporary Samoa</t>
  </si>
  <si>
    <t>POLITICAL SCIENCE / Globalization</t>
  </si>
  <si>
    <t>JZ1318 .M3264 2009eb</t>
  </si>
  <si>
    <t>Globalization--Economic aspects--Samoa.,Globalization--Social aspects--Samoa.</t>
  </si>
  <si>
    <t>Macpherson, Cluny.-Macpherson, LaÊ»avasa.</t>
  </si>
  <si>
    <t>Fast Talking PI</t>
  </si>
  <si>
    <t>PR9639.4.M37 F37 2009eb</t>
  </si>
  <si>
    <t>Monologues with music.,New Zealand poetry--21st century.</t>
  </si>
  <si>
    <t>Marsh, Selina Tusitala.-Page, Tim</t>
  </si>
  <si>
    <t>Final Approaches</t>
  </si>
  <si>
    <t>A Memoir</t>
  </si>
  <si>
    <t>DU420.34.H4 H46 2006eb</t>
  </si>
  <si>
    <t>Diplomats--New Zealand--Biography.</t>
  </si>
  <si>
    <t>Hensley, G. C.</t>
  </si>
  <si>
    <t>The Tram Conductor's Blue Cap</t>
  </si>
  <si>
    <t>PR9639.3.H29 T73 2009eb</t>
  </si>
  <si>
    <t>Harlow, Michael.</t>
  </si>
  <si>
    <t>The Long Road to Teatime</t>
  </si>
  <si>
    <t>PR9639.3.J22 L66 2000eb</t>
  </si>
  <si>
    <t>No Fretful Sleeper</t>
  </si>
  <si>
    <t>A Life of Bill Pearson</t>
  </si>
  <si>
    <t>PR9639.3.M54</t>
  </si>
  <si>
    <t>Millar, Paul.</t>
  </si>
  <si>
    <t>Kiwi Keith</t>
  </si>
  <si>
    <t>A Biography of Keith Holyoake</t>
  </si>
  <si>
    <t>DU420.34.H66 G87 2007eb</t>
  </si>
  <si>
    <t>Elections--New Zealand--History--20th century.,Prime ministers--New Zealand--Biography.</t>
  </si>
  <si>
    <t>Gustafson, Barry.</t>
  </si>
  <si>
    <t>Historical Dictionary of Human Rights</t>
  </si>
  <si>
    <t>Rowman &amp; Littlefield Publishing</t>
  </si>
  <si>
    <t>JC571 .F59 2014eb</t>
  </si>
  <si>
    <t>Human rights--History--Dictionaries.</t>
  </si>
  <si>
    <t>Fomerand, Jacques.</t>
  </si>
  <si>
    <t>Historical Dictionaries of Religions, Philosophies, and Movements</t>
  </si>
  <si>
    <t>Practical Guide to Vegetable Oil Processing</t>
  </si>
  <si>
    <t>American Oil Chemists Society</t>
  </si>
  <si>
    <t>AOCS</t>
  </si>
  <si>
    <t>TECHNOLOGY &amp; ENGINEERING / Food Science / General</t>
  </si>
  <si>
    <t>TP670 .G846 2008eb</t>
  </si>
  <si>
    <t>Food industry and trade.,Oils and fats, Edible--Industrial applications.,Vegetable oil industry.,Vegetable oils--Industrial applications.</t>
  </si>
  <si>
    <t>Gupta, Monoj K.</t>
  </si>
  <si>
    <t>A Man Called Intrepid</t>
  </si>
  <si>
    <t>The Incredible True Story of the Master Spy Who Helped Win World War II</t>
  </si>
  <si>
    <t>D810.S8</t>
  </si>
  <si>
    <t>World War, 1939-1945--Secret service.</t>
  </si>
  <si>
    <t>Stevenson, William</t>
  </si>
  <si>
    <t>Writing with the Master</t>
  </si>
  <si>
    <t>How One of the World?s Bestselling Authors Fixed My Book and Changed My Life</t>
  </si>
  <si>
    <t>PS3557.R5355</t>
  </si>
  <si>
    <t>Detective and mystery stories--Authorship.,Fiction--Authorship.,Fiction--Technique.,Mentoring.,Suspense fiction--Authorship.</t>
  </si>
  <si>
    <t>Vanderwarker, Tony.</t>
  </si>
  <si>
    <t>The Book of the Sword</t>
  </si>
  <si>
    <t>A History of Daggers, Sabers, and Scimitars From Ancient Times to the Modern Day</t>
  </si>
  <si>
    <t>HISTORY / Military / Weapons</t>
  </si>
  <si>
    <t>U850</t>
  </si>
  <si>
    <t>Swords.</t>
  </si>
  <si>
    <t>Burton, Richard Francis.</t>
  </si>
  <si>
    <t>Alaskan Travels</t>
  </si>
  <si>
    <t>Far-Flung Tales of Love and Adventure</t>
  </si>
  <si>
    <t>TRAVEL / United States / West / Pacific (AK, CA, HI, OR, WA)</t>
  </si>
  <si>
    <t>F910.5 .H63 2012eb</t>
  </si>
  <si>
    <t>Hoagland, Edward.</t>
  </si>
  <si>
    <t>New Markets for Artists</t>
  </si>
  <si>
    <t>How to Sell, Fund Projects, and Exhibit Using Social Media, DIY Pop-Ups, EBay, Kickstarter, and Much More</t>
  </si>
  <si>
    <t>ART / Business Aspects</t>
  </si>
  <si>
    <t>N8600 .C29 2012</t>
  </si>
  <si>
    <t>Art--Marketing.,Internet marketing.,Online social networks.</t>
  </si>
  <si>
    <t>Carey, Brainard.</t>
  </si>
  <si>
    <t>Starting Your Career As an Actor</t>
  </si>
  <si>
    <t>PN2055 .P87 2012eb</t>
  </si>
  <si>
    <t>Acting.,Acting--Vocational guidance.,Performing arts.,Performing arts--Vocational guidance.</t>
  </si>
  <si>
    <t>Pugatch, Jason.</t>
  </si>
  <si>
    <t>Starting Your Career</t>
  </si>
  <si>
    <t>Starting Your Career As a Theatrical Designer</t>
  </si>
  <si>
    <t>Insights and Advice From Leading Broadway Designers</t>
  </si>
  <si>
    <t>PN2091.S8 R475 2012</t>
  </si>
  <si>
    <t>Set designers--New York (State)--New York--Interviews.,Stage lighting designers--New York (State)--New York--Interviews.,Theaters--Stage-setting and scenery--New York (State)--New York.</t>
  </si>
  <si>
    <t>Riha, Michael J.</t>
  </si>
  <si>
    <t>Making It in the Music Business</t>
  </si>
  <si>
    <t>The Business and Legal Guide for Songwriters and Performers</t>
  </si>
  <si>
    <t>EDUCATION / Counseling / Career Development</t>
  </si>
  <si>
    <t>ML3790 .W57 2008</t>
  </si>
  <si>
    <t>Copyright--Music--United States.,Music trade--United States.,Musicians--Legal status, laws, etc.--United States.</t>
  </si>
  <si>
    <t>Wilson, Lee.</t>
  </si>
  <si>
    <t>The Journalist's Craft</t>
  </si>
  <si>
    <t>A Guide to Writing Better Stories</t>
  </si>
  <si>
    <t>PN4775 .J57 2012</t>
  </si>
  <si>
    <t>Journalism--Authorship.,Reporters and reporting.</t>
  </si>
  <si>
    <t>Jackson, Dennis.-Sweeney, John.</t>
  </si>
  <si>
    <t>Graphic Design Reader</t>
  </si>
  <si>
    <t>DESIGN / Graphic Arts / General</t>
  </si>
  <si>
    <t>NC998.5.A1 H438 2012</t>
  </si>
  <si>
    <t>Commercial art--United States.,Graphic arts--United States.,Popular culture--United States.</t>
  </si>
  <si>
    <t>Heller, Steven.</t>
  </si>
  <si>
    <t>Starting Your Career As a Freelance Illustrator or Graphic Designer</t>
  </si>
  <si>
    <t>Revised Edition</t>
  </si>
  <si>
    <t>NC1001 .F58 2012</t>
  </si>
  <si>
    <t>Commercial art--Vocational guidance.,Graphic arts--Vocational guidance.</t>
  </si>
  <si>
    <t>Fleishman, Michael</t>
  </si>
  <si>
    <t>Acting for Film</t>
  </si>
  <si>
    <t>PN1995.9.A26 .H33 2012</t>
  </si>
  <si>
    <t>Motion picture acting.</t>
  </si>
  <si>
    <t>Haase, Cathy.</t>
  </si>
  <si>
    <t>The Artist's Guide to Public Art</t>
  </si>
  <si>
    <t>How to Find and Win Commissions (Second Edition)</t>
  </si>
  <si>
    <t xml:space="preserve">ART / Public Art </t>
  </si>
  <si>
    <t>N8846.U6 B37 2012</t>
  </si>
  <si>
    <t>Art commissions--United States.,Public art--Economic aspects--United States.</t>
  </si>
  <si>
    <t>Basa, Lynn.-Jacob, Mary Jane.</t>
  </si>
  <si>
    <t>Modal and Focus Particles in Sign Languages</t>
  </si>
  <si>
    <t>A Cross-Linguistic Study</t>
  </si>
  <si>
    <t>PG145 .M384 2013</t>
  </si>
  <si>
    <t>Language and languages.,Linguistics.,Sign language.</t>
  </si>
  <si>
    <t>Herrmann, Annika</t>
  </si>
  <si>
    <t>Sign Languages and Deaf Communities, SLDC</t>
  </si>
  <si>
    <t>The Rise and Fall of National Women's Hospital</t>
  </si>
  <si>
    <t>RA564.85</t>
  </si>
  <si>
    <t>Women's health services--Moral and ethical aspects--New Zealand.,Women's health services--New Zealand--History--20th century.</t>
  </si>
  <si>
    <t>Bryder, Linda</t>
  </si>
  <si>
    <t>The Amoeba in the Room</t>
  </si>
  <si>
    <t>Lives of the Microbes</t>
  </si>
  <si>
    <t>SCIENCE / Life Sciences / Microbiology</t>
  </si>
  <si>
    <t>QR100 .M664 2014eb</t>
  </si>
  <si>
    <t>Microbial ecology.,Microbiology.</t>
  </si>
  <si>
    <t>Money, Nicholas P.</t>
  </si>
  <si>
    <t>Landmark Papers in Neurosurgery</t>
  </si>
  <si>
    <t>Oxford University Press USA</t>
  </si>
  <si>
    <t>RD593 .L33 2010eb</t>
  </si>
  <si>
    <t>Nervous system--Surgery.</t>
  </si>
  <si>
    <t>Green, Alexander L.-Johnson, Reuben D.</t>
  </si>
  <si>
    <t>Queer Africa</t>
  </si>
  <si>
    <t>New and Collected Fiction</t>
  </si>
  <si>
    <t>Modjaji Books</t>
  </si>
  <si>
    <t>PR9348 .Q44 2013eb</t>
  </si>
  <si>
    <t>Gays--Africa--Fiction.,Gays--South Africa--Fiction.,Homosexuality--Africa--Fiction.,Homosexuality--South Africa--Fiction.,Short stories, African (English),Short stories, South African (English)</t>
  </si>
  <si>
    <t>Xaba, Makhosazana.-Martin, Karen.</t>
  </si>
  <si>
    <t>Teaching Arabs, Writing Self</t>
  </si>
  <si>
    <t>Memoirs of an Arab-American Woman</t>
  </si>
  <si>
    <t>PE64.S43</t>
  </si>
  <si>
    <t>English teachers--Middle East--Biography.,Lebanese American women--Massachusetts--Biography.,Lebanese Americans--Massachusetts--Biography.</t>
  </si>
  <si>
    <t>Shakir, Evelyn</t>
  </si>
  <si>
    <t>Medical Marijuana 101</t>
  </si>
  <si>
    <t>Quick American Archives</t>
  </si>
  <si>
    <t>RM666.C266 M37 2011eb</t>
  </si>
  <si>
    <t>Cannabis--Therapeutic use.,Marijuana--Therapeutic use.</t>
  </si>
  <si>
    <t>Martin, Mickey-Carter, Gregory T.-Rosenthal, Ed.</t>
  </si>
  <si>
    <t>The Osage Orange Tree</t>
  </si>
  <si>
    <t>A Story by William Stafford</t>
  </si>
  <si>
    <t>FICTION / Coming of Age</t>
  </si>
  <si>
    <t>PS3537.T143 O83 2014eb</t>
  </si>
  <si>
    <t>American fiction.,Bildungsromans, American.</t>
  </si>
  <si>
    <t>Stafford, William-Cunningham, Dennis</t>
  </si>
  <si>
    <t>Chasing Reality</t>
  </si>
  <si>
    <t>Strife Over Realism</t>
  </si>
  <si>
    <t>University of Toronto Press</t>
  </si>
  <si>
    <t>University of Toronto Press, Scholarly Publishing Division</t>
  </si>
  <si>
    <t>B835 .B87 2006eb</t>
  </si>
  <si>
    <t>Realism.</t>
  </si>
  <si>
    <t>Bunge, Mario</t>
  </si>
  <si>
    <t>Toronto Studies in Philosophy</t>
  </si>
  <si>
    <t>Albert Camus: A Biography</t>
  </si>
  <si>
    <t>Gingko Press</t>
  </si>
  <si>
    <t>PQ2605.A3734 Z743 1997eb</t>
  </si>
  <si>
    <t>Authors, Algerian--20th century--Biography.,Authors, French--20th century--Biography.</t>
  </si>
  <si>
    <t>Lottman, Herbert R.</t>
  </si>
  <si>
    <t>The Spenser Encyclopedia</t>
  </si>
  <si>
    <t>REFERENCE / Encyclopedias</t>
  </si>
  <si>
    <t>PR2362 .S65 1992</t>
  </si>
  <si>
    <t>Poets, English--Early modern, 1500-1700--Biography--Encyclopedias.</t>
  </si>
  <si>
    <t>Cheney, Donald.-Hamilton, A.C.-Richardson, David.</t>
  </si>
  <si>
    <t>Love and Terror on the Howling Plains of Nowhere</t>
  </si>
  <si>
    <t>Hawthorne Books</t>
  </si>
  <si>
    <t>PS3602.A599 Z46 2013eb</t>
  </si>
  <si>
    <t>Authors, American--20th century--Biography.</t>
  </si>
  <si>
    <t>Ballantine, Poe</t>
  </si>
  <si>
    <t>Champions for Peace</t>
  </si>
  <si>
    <t>Women Winners of the Nobel Peace Prize</t>
  </si>
  <si>
    <t>POLITICAL SCIENCE / Peace</t>
  </si>
  <si>
    <t>JZ5540 .S74 2014eb</t>
  </si>
  <si>
    <t>Nobel Prize winners.,Nobel Prizes--History.,Pacifists--Biography.,Peace--Awards--History.,Women and peace--History.,Women Nobel Prize winners.</t>
  </si>
  <si>
    <t>Stiehm, Judith Hicks</t>
  </si>
  <si>
    <t>Teaching Epidemiology</t>
  </si>
  <si>
    <t>MEDICAL / Public Health</t>
  </si>
  <si>
    <t>RA654 .T43 2010eb</t>
  </si>
  <si>
    <t>Epidemiology.</t>
  </si>
  <si>
    <t>Trichopoulos, Dimitrios.-Saracci, Rodolfo-Olsen, JÃ¸rn.</t>
  </si>
  <si>
    <t>Schizophrenia</t>
  </si>
  <si>
    <t>HEALTH &amp; FITNESS / Diseases / Nervous System (incl. Brain)</t>
  </si>
  <si>
    <t>RC514 .T77 2011eb</t>
  </si>
  <si>
    <t>Schizophrenia.</t>
  </si>
  <si>
    <t>Tsuang, Ming T.-Glatt, Stephen J.-Faraone, Stephen V.</t>
  </si>
  <si>
    <t>The Facts</t>
  </si>
  <si>
    <t>Comprehensive Handbook of Pediatric Audiology</t>
  </si>
  <si>
    <t>RF291.5.C45 C66 2011eb</t>
  </si>
  <si>
    <t>Hearing disorders in children--Handbooks, manuals, etc.</t>
  </si>
  <si>
    <t>Tharpe, Anne Marie.-Seewald, Richard C.</t>
  </si>
  <si>
    <t>Auditory Processing Disorders</t>
  </si>
  <si>
    <t>Assessment, Management, and Treatment</t>
  </si>
  <si>
    <t>RC394.W63 A94 2013eb</t>
  </si>
  <si>
    <t>Speech disorders.,Word deafness.</t>
  </si>
  <si>
    <t>Ross-Swain, Deborah.-Geffner, Donna S.</t>
  </si>
  <si>
    <t>Nga Moteatea</t>
  </si>
  <si>
    <t>An Introduction / He Kupu Arataki</t>
  </si>
  <si>
    <t>MUSIC / Genres &amp; Styles / Folk &amp; Traditional</t>
  </si>
  <si>
    <t>ML3771 .M37 2011eb</t>
  </si>
  <si>
    <t>Folk songs, Maori.,Maori (New Zealand people)--Music.,Maori poetry.,Songs, Maori.</t>
  </si>
  <si>
    <t>mao</t>
  </si>
  <si>
    <t>McRae, Jane.-Jacob, HeÌ„ni.-Ngata, Apirana Turupa</t>
  </si>
  <si>
    <t>Polynesian Society memoir</t>
  </si>
  <si>
    <t>An Unsettled Spirit</t>
  </si>
  <si>
    <t>The Life and Frontier Fiction of Edith Lyttleton</t>
  </si>
  <si>
    <t>PR9619.3.L3516 Z88 2003eb</t>
  </si>
  <si>
    <t>Authors, New Zealand--20th century--Biography.,Frontier and pioneer life in literature.,Postcolonialism in literature.,Women and literature--New Zealand--History--20th century.</t>
  </si>
  <si>
    <t>Sturm, Terry.</t>
  </si>
  <si>
    <t>The New Zealand Family From 1840</t>
  </si>
  <si>
    <t>A Demographic History</t>
  </si>
  <si>
    <t>HQ722.5 .P66 2007</t>
  </si>
  <si>
    <t>Families--New Zealand--History.</t>
  </si>
  <si>
    <t>Pool, D. Ian-Sceats, Janet.-Dharmalingam, A.</t>
  </si>
  <si>
    <t>Beauties of the Octagonal Pool</t>
  </si>
  <si>
    <t>O'Brien, Gregory.</t>
  </si>
  <si>
    <t>Aloe</t>
  </si>
  <si>
    <t>And Other Poems</t>
  </si>
  <si>
    <t>PR9639.3.B677 A46 2009eb</t>
  </si>
  <si>
    <t>Bridge, Diana.</t>
  </si>
  <si>
    <t>AUP New Poets 4</t>
  </si>
  <si>
    <t>PR9635.72 .A87 2011eb</t>
  </si>
  <si>
    <t>Jones, Harry-Scudder, Erin.-Tse, Chris</t>
  </si>
  <si>
    <t>AUP New Poets</t>
  </si>
  <si>
    <t>Zone of the Marvellous</t>
  </si>
  <si>
    <t>In Search of the Antipodes</t>
  </si>
  <si>
    <t>HISTORY / Essays</t>
  </si>
  <si>
    <t>PN51 .E36 2010</t>
  </si>
  <si>
    <t>The Good Doctor</t>
  </si>
  <si>
    <t>What Patients Want</t>
  </si>
  <si>
    <t>MEDICAL / Health Care Delivery</t>
  </si>
  <si>
    <t>R727.3 .P363 2012eb</t>
  </si>
  <si>
    <t>Medical care--Quality control.,Physician and patient.,Physicians.</t>
  </si>
  <si>
    <t>Paterson, Ron</t>
  </si>
  <si>
    <t>Slip Stream</t>
  </si>
  <si>
    <t>PR9639.3.G733 S65 2010eb</t>
  </si>
  <si>
    <t>Cancer--Patients--Poetry.,Cancer--Poetry.</t>
  </si>
  <si>
    <t>Milk and Honey</t>
  </si>
  <si>
    <t>PR9639.3.L45 M55 2005eb</t>
  </si>
  <si>
    <t>The World Regained</t>
  </si>
  <si>
    <t>Dennis McEldowney's Autobiography</t>
  </si>
  <si>
    <t>RC687 .M2 2001eb</t>
  </si>
  <si>
    <t>Heart--Surgery--Personal narratives.,Tetralogy of Fallot--Patients--Biography.</t>
  </si>
  <si>
    <t>McEldowney, Dennis</t>
  </si>
  <si>
    <t>The Darling North</t>
  </si>
  <si>
    <t>PR9619.3.K475 .D37 2012eb</t>
  </si>
  <si>
    <t>New Zealand poetry--21st century.,Short stories, New Zealand.</t>
  </si>
  <si>
    <t>New Zealand's London</t>
  </si>
  <si>
    <t>A Colony and Its Metropolis</t>
  </si>
  <si>
    <t>DU418 .B35 2012eb</t>
  </si>
  <si>
    <t>Barnes, Felicity.</t>
  </si>
  <si>
    <t>Fool Moon</t>
  </si>
  <si>
    <t>PR9639.3.E4 F66 2004eb</t>
  </si>
  <si>
    <t>Poets, New Zealand.</t>
  </si>
  <si>
    <t>Edmond, Murray-Forsberg, Joanna.</t>
  </si>
  <si>
    <t>A Simple Nullity?</t>
  </si>
  <si>
    <t>The Wi Parata Case in New Zealand Law &amp; History</t>
  </si>
  <si>
    <t>LAW / Property</t>
  </si>
  <si>
    <t>KUQ354 .W55 2011eb</t>
  </si>
  <si>
    <t>Maori (New Zealand people)--Civil rights--History--19th century.,Maori (New Zealand people)--Land tenure--Law and legislation.,NgaÂ¯ti Toa (New Zealand people)--Land tenure.</t>
  </si>
  <si>
    <t>Williams, David V.</t>
  </si>
  <si>
    <t>Girls and Women, Men &amp; Boys</t>
  </si>
  <si>
    <t>Gender in Taradale 1886â€“1930</t>
  </si>
  <si>
    <t>HQ1075.5.N45 D35 1999eb</t>
  </si>
  <si>
    <t>Leisure--New Zealand--Taradale.,Men--Employment--New Zealand--Taradale.,Sex role--New Zealand--Taradale--History.,Women--Employment--New Zealand--Taradale.</t>
  </si>
  <si>
    <t>Daley, Caroline.</t>
  </si>
  <si>
    <t>James K. Baxter</t>
  </si>
  <si>
    <t>Poems</t>
  </si>
  <si>
    <t>PR9639.3.B3 A6 2010eb</t>
  </si>
  <si>
    <t>Baxter, James K.-Hunt, Sam.</t>
  </si>
  <si>
    <t>Good Business</t>
  </si>
  <si>
    <t>PR9639.3.W36 G66 2009eb</t>
  </si>
  <si>
    <t>English poetry.,Irish poetry.,Scottish poetry.,Welsh poetry.</t>
  </si>
  <si>
    <t>To Bed at Noon</t>
  </si>
  <si>
    <t>The Life and Art of Maurice Duggan</t>
  </si>
  <si>
    <t>PR9639.3.D796 Z87 1997eb</t>
  </si>
  <si>
    <t>Richards, Ian</t>
  </si>
  <si>
    <t>PR9639.3.E4 L36 2000eb</t>
  </si>
  <si>
    <t>Dark Night</t>
  </si>
  <si>
    <t>Walking with McCahon</t>
  </si>
  <si>
    <t>PR9619.4.E36 D37 2011eb</t>
  </si>
  <si>
    <t>Voters' Victory</t>
  </si>
  <si>
    <t>New Zealand's First Election Under Proportional Representation</t>
  </si>
  <si>
    <t>JQ5894 .V67 1998eb</t>
  </si>
  <si>
    <t>Elections--New Zealand.,Proportional representation--New Zealand.</t>
  </si>
  <si>
    <t>Vowles, Jack</t>
  </si>
  <si>
    <t>Waimarino County</t>
  </si>
  <si>
    <t>&amp; Other Excursions</t>
  </si>
  <si>
    <t>PR9619.4.E36 .E384 1997</t>
  </si>
  <si>
    <t>The Meeting Place</t>
  </si>
  <si>
    <t>Maori and Pakeha Encounters, 1642â€“1840</t>
  </si>
  <si>
    <t>DU423.F48 O46 2012eb</t>
  </si>
  <si>
    <t>Maori (New Zealand people)--First contact with Europeans.,Maori (New Zealand people)--History.</t>
  </si>
  <si>
    <t>O'Malley, Vincent</t>
  </si>
  <si>
    <t>Voters' Veto</t>
  </si>
  <si>
    <t>The 2002 Election in New Zealand and the Consolidation of Minority Government</t>
  </si>
  <si>
    <t>JQ5894 .V688 2004eb</t>
  </si>
  <si>
    <t>Coalition governments--New Zealand.,Elections--New Zealand--Statistics.</t>
  </si>
  <si>
    <t>The Frame Function</t>
  </si>
  <si>
    <t>An Inside-Out Guide to the Novels of Janet Frame</t>
  </si>
  <si>
    <t>PR9639.3.C76 F73 2011eb</t>
  </si>
  <si>
    <t>Cronin, Jan.</t>
  </si>
  <si>
    <t>From Manoa to a Ponsonby Garden</t>
  </si>
  <si>
    <t>PR9665.9.W46</t>
  </si>
  <si>
    <t>New Zealand poetry--20th century.,New Zealand poetry--21st century.,Samoan poetry--20th century.,Samoan poetry--21st century.</t>
  </si>
  <si>
    <t>Wendt, Albert</t>
  </si>
  <si>
    <t>Thicket</t>
  </si>
  <si>
    <t>PR9639.3.J22</t>
  </si>
  <si>
    <t>Photographs</t>
  </si>
  <si>
    <t>PR9665.9.W46 P46 1995eb</t>
  </si>
  <si>
    <t>Her Life's Work</t>
  </si>
  <si>
    <t>Conversations with Five New Zealand Women</t>
  </si>
  <si>
    <t>CT3805 .S54 2009eb</t>
  </si>
  <si>
    <t>Successful people--New Zealand--Biography.,Women--New Zealand--Biography.</t>
  </si>
  <si>
    <t>Shepard, Deborah.</t>
  </si>
  <si>
    <t>Dear Sweet Harry</t>
  </si>
  <si>
    <t>PR9635.25 .J46 2010eb</t>
  </si>
  <si>
    <t>Escape artists--United States--Poetry.,Magicians--United States--Poetry.,New Zealand poetry--21st century.</t>
  </si>
  <si>
    <t>Jenner, Lynn.</t>
  </si>
  <si>
    <t>The Commonplace Book</t>
  </si>
  <si>
    <t>A Writer's Journey Through Quotations</t>
  </si>
  <si>
    <t>PR9639.3.S54 Z46 2011eb</t>
  </si>
  <si>
    <t>Quotations, English.</t>
  </si>
  <si>
    <t>Steal Away Boy</t>
  </si>
  <si>
    <t>Selected Poems of David Mitchell</t>
  </si>
  <si>
    <t>PR9639.3.M5 S84 2010eb</t>
  </si>
  <si>
    <t>Mitchell, David.-Roberts, Nigel-Edmond, Martin</t>
  </si>
  <si>
    <t>At the White Coast</t>
  </si>
  <si>
    <t>PR9639.3.C517 A8 2012eb</t>
  </si>
  <si>
    <t>Charman, Janet</t>
  </si>
  <si>
    <t>Adverse Reactions</t>
  </si>
  <si>
    <t>The Fenoterol Story</t>
  </si>
  <si>
    <t>RM302.5 .P437 2007eb</t>
  </si>
  <si>
    <t>Asthma--Mortality--New Zealand.,Bronchodilator agents--Side effects.,Drugs--New Zealand--Safety measures.,Fenoterol--Side effects.</t>
  </si>
  <si>
    <t>Pearce, Neil.</t>
  </si>
  <si>
    <t>The Auckland University Press Anthology of New Zealand Literature</t>
  </si>
  <si>
    <t>PR9634.9 .A93 2012eb</t>
  </si>
  <si>
    <t>New Zealand literature--19th century--History and criticism.,New Zealand literature--20th century--History and criticism.,New Zealand literature--21st century--History and criticism.</t>
  </si>
  <si>
    <t>Williams, Mark-Stafford, Jane</t>
  </si>
  <si>
    <t>Kingdom Animalia</t>
  </si>
  <si>
    <t>The Escapades of Linnaeus</t>
  </si>
  <si>
    <t>PR9636.4.F74 K56 2011eb</t>
  </si>
  <si>
    <t>Animals--Poetry.,New Zealand poetry--21st century.</t>
  </si>
  <si>
    <t>Freegard, Janis.</t>
  </si>
  <si>
    <t>A Press Achieved</t>
  </si>
  <si>
    <t>The Emergence of Auckland University Press 1927â€“1972</t>
  </si>
  <si>
    <t>LANGUAGE ARTS &amp; DISCIPLINES / Publishers &amp; Publishing Industry</t>
  </si>
  <si>
    <t>Z537.3.A93 M34 2001eb</t>
  </si>
  <si>
    <t>Scholarly publishing--New Zealand--Auckland--History--20th century.,University presses--New Zealand--Auckland--History--20th century.</t>
  </si>
  <si>
    <t>In Continents</t>
  </si>
  <si>
    <t>PR9639.3.R39 I53 2008eb</t>
  </si>
  <si>
    <t>English poetry.</t>
  </si>
  <si>
    <t>Reeve, Richard</t>
  </si>
  <si>
    <t>Kin of Place</t>
  </si>
  <si>
    <t>Essays on New Zealand Writers</t>
  </si>
  <si>
    <t>PR9629.6 .S745 2002</t>
  </si>
  <si>
    <t>New Zealand literature--20th century--History and criticism.</t>
  </si>
  <si>
    <t>Proportional Representation on Trial</t>
  </si>
  <si>
    <t>New Zealand's Second MMP Election and After</t>
  </si>
  <si>
    <t>JQ5894 .P76 2002eb</t>
  </si>
  <si>
    <t>Towards Consensus?</t>
  </si>
  <si>
    <t>The 1993 Election and Referendum in NZ</t>
  </si>
  <si>
    <t>JQ5894 .T68 1995eb</t>
  </si>
  <si>
    <t>Elections--New Zealand.,Proportional representation--New Zealand.,Referendum--New Zealand.</t>
  </si>
  <si>
    <t>Briefcase</t>
  </si>
  <si>
    <t>PR9639.4.A34 B75 2011eb</t>
  </si>
  <si>
    <t>Adams, J. G.</t>
  </si>
  <si>
    <t>To Tatau Waka</t>
  </si>
  <si>
    <t>In Search of Maori Music</t>
  </si>
  <si>
    <t>ML423.M4327 A3 2004eb</t>
  </si>
  <si>
    <t>Ethnomusicologists--New Zealand--Biography.,Folk music--New Zealand--History and criticism.,Folk songs, Maori--New Zealand--History and criticism.,Maori (New Zealand people)--Music--History and criticism.</t>
  </si>
  <si>
    <t>McLean, Mervyn.</t>
  </si>
  <si>
    <t>The Settler's Plot</t>
  </si>
  <si>
    <t>How Stories Take Place in New Zealand</t>
  </si>
  <si>
    <t>PR9625.2 .C35 2011eb</t>
  </si>
  <si>
    <t>Geography in literature.,New Zealand literature--History and criticism.,Place (Philosophy) in literature.</t>
  </si>
  <si>
    <t>Calder, Alex.</t>
  </si>
  <si>
    <t>A New Zealand Book of Beasts</t>
  </si>
  <si>
    <t>Animals in Our Culture, History and Everday Life</t>
  </si>
  <si>
    <t>SOCIAL SCIENCE / Regional Studies</t>
  </si>
  <si>
    <t>QL85</t>
  </si>
  <si>
    <t>Animals--New Zealand--History.,Animals--Social aspects--New Zealand.,Human-animal relationships--New Zealand.</t>
  </si>
  <si>
    <t>Potts, Annie-Armstrong, Philip-Brown, Deidre</t>
  </si>
  <si>
    <t>BA: An Insider's Guide</t>
  </si>
  <si>
    <t>LB2343.34.N45 J87 2012eb</t>
  </si>
  <si>
    <t>Bachelor of arts degree--New Zealand.,College students--Life skills guides.,College students--New Zealand--Life skills guides.,Study skills--Handbooks, manuals, etc.</t>
  </si>
  <si>
    <t>Jury, Rebecca</t>
  </si>
  <si>
    <t>Face of War</t>
  </si>
  <si>
    <t>New Zealand's Great War Photography</t>
  </si>
  <si>
    <t>PHOTOGRAPHY / History</t>
  </si>
  <si>
    <t>D639.P39 C35 2008eb</t>
  </si>
  <si>
    <t>War photography--New Zealand.,World War, 1914-1918--New Zealand--Personal narratives.,World War, 1914-1918--New Zealand--Pictorial works.,World War, 1914-1918--Photography.</t>
  </si>
  <si>
    <t>Callister, Sandy.</t>
  </si>
  <si>
    <t>Englishâ€“Maori, Maoriâ€“English Dictionary</t>
  </si>
  <si>
    <t>REFERENCE / Dictionaries</t>
  </si>
  <si>
    <t>PL6465.Z5 B54 1990eb</t>
  </si>
  <si>
    <t>English language--Dictionaries--Maori.,Maori language--Dictionaries--English.</t>
  </si>
  <si>
    <t>Biggs, Bruce</t>
  </si>
  <si>
    <t>The Broken Book</t>
  </si>
  <si>
    <t>PR9639.3.P55</t>
  </si>
  <si>
    <t>Earthquakes--Poetry.,New Zealand poetry.</t>
  </si>
  <si>
    <t>The Making of New Zealanders</t>
  </si>
  <si>
    <t>DU420.26 .P35 2012eb</t>
  </si>
  <si>
    <t>National characteristics, New Zealand--History.,Nationalism--New Zealand--History.,New Zealanders--Ethnic identity--History.</t>
  </si>
  <si>
    <t>Palenski, Ron.</t>
  </si>
  <si>
    <t>Before I Forget</t>
  </si>
  <si>
    <t>Calypso</t>
  </si>
  <si>
    <t>PR9639.3.O67 C35 2008eb</t>
  </si>
  <si>
    <t>Australian poetry.</t>
  </si>
  <si>
    <t>Making Sheep Country</t>
  </si>
  <si>
    <t>Mt Peel Station and the Transformation of the Tussock Lands</t>
  </si>
  <si>
    <t>S522.N48</t>
  </si>
  <si>
    <t>Pastures--New Zealand--South Island--History.,Sheep ranches--New Zealand--South Island--History.</t>
  </si>
  <si>
    <t>Peden, Robert</t>
  </si>
  <si>
    <t>Business Applications of Operations Research</t>
  </si>
  <si>
    <t>SCIENCE / System Theory</t>
  </si>
  <si>
    <t>T57.6 .N243 2014</t>
  </si>
  <si>
    <t>Operations research.</t>
  </si>
  <si>
    <t>Nag, Bodhibrata.</t>
  </si>
  <si>
    <t>Bugatti The Designer</t>
  </si>
  <si>
    <t>Brooklands Books</t>
  </si>
  <si>
    <t>BIOGRAPHY &amp; AUTOBIOGRAPHY / Science &amp; Technology</t>
  </si>
  <si>
    <t>TL140.B8 E34 2013eb</t>
  </si>
  <si>
    <t>Bugatti automobile.</t>
  </si>
  <si>
    <t>Eaglesfield, Barry</t>
  </si>
  <si>
    <t>Qatar</t>
  </si>
  <si>
    <t>Small State, Big Politics</t>
  </si>
  <si>
    <t>DS247.Q35 K36 2013eb</t>
  </si>
  <si>
    <t>Kamrava, Mehran</t>
  </si>
  <si>
    <t>New York Amish</t>
  </si>
  <si>
    <t>Life in the Plain Communities of the Empire State</t>
  </si>
  <si>
    <t>RELIGION / Christianity / Amish</t>
  </si>
  <si>
    <t>F130.M45 J64 2010eb</t>
  </si>
  <si>
    <t>Amish--New York (State),Mennonites.</t>
  </si>
  <si>
    <t>Johnson-Weiner, Karen.</t>
  </si>
  <si>
    <t>Necessary Luxuries</t>
  </si>
  <si>
    <t>Books, Literature, and the Culture of Consumption in Germany, 1770â€“1815</t>
  </si>
  <si>
    <t>Z1003.5.G4 E73 2014eb</t>
  </si>
  <si>
    <t>Books and reading--Germany--History--18th century.,Books and reading--Germany--History--19th century.</t>
  </si>
  <si>
    <t>Erlin, Matt</t>
  </si>
  <si>
    <t>Signale</t>
  </si>
  <si>
    <t>Domestic Violence</t>
  </si>
  <si>
    <t>Methodologies in Dialogue</t>
  </si>
  <si>
    <t>HV6626 .D66757 2013</t>
  </si>
  <si>
    <t>Family violence.,Intimate partner violence.,Marital violence.</t>
  </si>
  <si>
    <t>Cohen, Shuki J.-Raghavan, Chitra.</t>
  </si>
  <si>
    <t>The Northeastern Series on Gender, Crime, and Law</t>
  </si>
  <si>
    <t>Gypsy Music in European Culture</t>
  </si>
  <si>
    <t>From the Late Eighteenth to the Early Twentieth Centuries</t>
  </si>
  <si>
    <t>ML3580 .P54 2013</t>
  </si>
  <si>
    <t>Music--Europe--Romani influences.,Romanies--Music--History and criticism.</t>
  </si>
  <si>
    <t>Piotrowska, Anna G.-Torr, Guy Russell</t>
  </si>
  <si>
    <t>Male Peer Support and Violence against Women</t>
  </si>
  <si>
    <t>The History and Verification of a Theory</t>
  </si>
  <si>
    <t>HV6626 .D437 2013eb</t>
  </si>
  <si>
    <t>Abused women.,Intimate partner violence.,Peer pressure.,Violence in men.,Women--Violence against.</t>
  </si>
  <si>
    <t>DeKeseredy, Walter S.-Schwartz, Martin D.</t>
  </si>
  <si>
    <t>Everyday Jewish Life in Imperial Russia</t>
  </si>
  <si>
    <t>Select Documents, 1772â€“1914</t>
  </si>
  <si>
    <t>DS134.84 .E94 2013</t>
  </si>
  <si>
    <t>Jews--Russia--Social life and customs--History--Sources.</t>
  </si>
  <si>
    <t>Harris, Jay Michael-Freeze, ChaeRan Y.</t>
  </si>
  <si>
    <t>Tauber Institute Series for the Study of European Jewry</t>
  </si>
  <si>
    <t>Educating in the Divine Image</t>
  </si>
  <si>
    <t>Gender Issues in Orthodox Jewish Day Schools</t>
  </si>
  <si>
    <t>LC715 .G67 2013</t>
  </si>
  <si>
    <t>Jewish day schools--Cross-cultural studies.,Jewish girls--Education--Cross-cultural studies.,Sex differences in education--Cross-cultural studies.,Sex discrimination in education--Cross-cultural studies.</t>
  </si>
  <si>
    <t>Gorsetman, Chaya Rosenfeld.-Sztokman, Elana Maryles.</t>
  </si>
  <si>
    <t>The Mother of All Departments</t>
  </si>
  <si>
    <t>The History of the Department of Internal Affairs</t>
  </si>
  <si>
    <t>JQ5850.I53 B37 1997eb</t>
  </si>
  <si>
    <t>Bassett, Michael</t>
  </si>
  <si>
    <t>Gleam</t>
  </si>
  <si>
    <t>PN6101</t>
  </si>
  <si>
    <t>New Zealand poetry--20th century.,New Zealand poetry--21st century.,Poetry--Collections.,Poets, New Zealand.</t>
  </si>
  <si>
    <t>Broom, Sarah.</t>
  </si>
  <si>
    <t>Marti Friedlander</t>
  </si>
  <si>
    <t>PHOTOGRAPHY / Individual Photographers / General</t>
  </si>
  <si>
    <t>TR140.F694 B45 2009eb</t>
  </si>
  <si>
    <t>Photographers--New Zealand.,Photography--New Zealand.</t>
  </si>
  <si>
    <t>Bell, Leonard-Friedlander, Marti.</t>
  </si>
  <si>
    <t>The Yellow Buoy</t>
  </si>
  <si>
    <t>Poems 2007â€“2012</t>
  </si>
  <si>
    <t>PR9639.3.S7 Y45 2013eb</t>
  </si>
  <si>
    <t>The Lifeguard</t>
  </si>
  <si>
    <t>Poems 2008â€“2013</t>
  </si>
  <si>
    <t>PR9639.3.W36 L54 2013eb</t>
  </si>
  <si>
    <t>New Zealand literature.,New Zealand poetry.</t>
  </si>
  <si>
    <t>Home in the Howling Wilderness</t>
  </si>
  <si>
    <t>Settlers and the Environment in Southern New Zealand</t>
  </si>
  <si>
    <t>S478.N45 H65 2013eb</t>
  </si>
  <si>
    <t>Agriculture--New Zealand--South Island--History--19th century.,Colonists--New Zealand--South Island.,Human ecology--New Zealand--South Island.,Nature--Effect of human beings on--New Zealand--South Island.</t>
  </si>
  <si>
    <t>Holland, Peter</t>
  </si>
  <si>
    <t>Blue Smoke</t>
  </si>
  <si>
    <t>The Lost Dawn of New Zealand Popular Music, 1918â€“1964</t>
  </si>
  <si>
    <t>ML3505.N45 B687 2010eb</t>
  </si>
  <si>
    <t>Popular music--20th century.,Popular music--New Zealand--History and criticism.</t>
  </si>
  <si>
    <t>Bourke, Chris.</t>
  </si>
  <si>
    <t>Self-Portrait</t>
  </si>
  <si>
    <t>TR140.F694</t>
  </si>
  <si>
    <t>Photographers--New Zealand--Biography.</t>
  </si>
  <si>
    <t>Friedlander, Marti-Manson, Hugo</t>
  </si>
  <si>
    <t>Extra! Extra!</t>
  </si>
  <si>
    <t>How the People Made the News</t>
  </si>
  <si>
    <t>PN5593</t>
  </si>
  <si>
    <t>New Zealand newspapers--New Zealand--Auckland--History--19th century.</t>
  </si>
  <si>
    <t>Hastings, David</t>
  </si>
  <si>
    <t>The Blue Coat</t>
  </si>
  <si>
    <t>PR9639.3.S54</t>
  </si>
  <si>
    <t>Changing Times</t>
  </si>
  <si>
    <t>New Zealand Since 1945</t>
  </si>
  <si>
    <t>DU420.32 .C375 2013eb</t>
  </si>
  <si>
    <t>Carlyon, Jenny-Morrow, Diana</t>
  </si>
  <si>
    <t>Friendly Fire</t>
  </si>
  <si>
    <t>Nuclear Politics &amp; the Collapse of ANZUS, 1984â€“1987</t>
  </si>
  <si>
    <t>JZ1480.A57</t>
  </si>
  <si>
    <t>The Whimpering of the State</t>
  </si>
  <si>
    <t>Policy After MMP</t>
  </si>
  <si>
    <t>HC665 .E174 1999eb</t>
  </si>
  <si>
    <t>Representative government and representation--New Zealand.</t>
  </si>
  <si>
    <t>Easton, B. H.</t>
  </si>
  <si>
    <t>Matters of the Heart</t>
  </si>
  <si>
    <t>A History of Interracial Marriage in New Zealand</t>
  </si>
  <si>
    <t>HQ1031 .W334 2013eb</t>
  </si>
  <si>
    <t>Europeans--New Zealand.,Interracial marriage--New Zealand--History.,Maori (New Zealand people)--New Zealand.</t>
  </si>
  <si>
    <t>Wanhalla, Angela</t>
  </si>
  <si>
    <t>Patched</t>
  </si>
  <si>
    <t>The History of Gangs in New Zealand</t>
  </si>
  <si>
    <t>TRUE CRIME / General</t>
  </si>
  <si>
    <t>HV6439.N45 G55 2013eb</t>
  </si>
  <si>
    <t>Gangs--New Zealand--History.</t>
  </si>
  <si>
    <t>Gilbert, Jarrod</t>
  </si>
  <si>
    <t>Historical Dictionary of International Organizations in Sub-Saharan Africa</t>
  </si>
  <si>
    <t>Scarecrow Press</t>
  </si>
  <si>
    <t>HISTORY / Africa / General</t>
  </si>
  <si>
    <t>JZ4850 .M37 2002eb</t>
  </si>
  <si>
    <t>African cooperation--Directories.,International agencies--Africa, Sub-Saharan--Directories.,International agencies--Africa, Sub-Saharan--History.</t>
  </si>
  <si>
    <t>Mays, Terry M.-DeLancey, Mark.</t>
  </si>
  <si>
    <t>Historical Dictionaries of International Organizations Series</t>
  </si>
  <si>
    <t>Trans Fats Alternatives</t>
  </si>
  <si>
    <t>MEDICAL / Preventive Medicine</t>
  </si>
  <si>
    <t>TX553.L5 T73 2005eb</t>
  </si>
  <si>
    <t>Food--Fat content.,Trans fatty acids.</t>
  </si>
  <si>
    <t>List, Gary R.-Kodali, Dharma R.</t>
  </si>
  <si>
    <t>Fads and Fallacies in Psychiatry</t>
  </si>
  <si>
    <t>RC465.5</t>
  </si>
  <si>
    <t>Psychiatry.,Psychiatry--Practice.</t>
  </si>
  <si>
    <t>Paris, Joel</t>
  </si>
  <si>
    <t>Adolescent Psychiatry</t>
  </si>
  <si>
    <t>A Contemporary Perspective for Health Professionals</t>
  </si>
  <si>
    <t>RJ503</t>
  </si>
  <si>
    <t>Adolescent psychiatry--Education.,Behavior disorders in adolescence.,Suicide--Psychology.,Veterans--Psychology.</t>
  </si>
  <si>
    <t>Sher, Leo-Merrick, Joav</t>
  </si>
  <si>
    <t>Health, Medicine, and Human Development</t>
  </si>
  <si>
    <t>The Burning Question</t>
  </si>
  <si>
    <t>We Can't Burn Half the World's Oil, Coal, and Gas. So How Do We Quit?</t>
  </si>
  <si>
    <t>QC981.8.G56 B47 2013</t>
  </si>
  <si>
    <t>Climatic changes.,Fossil fuels.,Global warming--Prevention.</t>
  </si>
  <si>
    <t>Berners-Lee, Mike.-Ebooks Corporation.</t>
  </si>
  <si>
    <t>EBL Ebooks Online</t>
  </si>
  <si>
    <t>PROC SQL</t>
  </si>
  <si>
    <t>Beyond the Basics Using SAS</t>
  </si>
  <si>
    <t>SAS Institute</t>
  </si>
  <si>
    <t>COMPUTERS / Programming Languages / Pascal</t>
  </si>
  <si>
    <t>QA76.73.S67 L34 2013eb</t>
  </si>
  <si>
    <t>SQL (Computer program language)</t>
  </si>
  <si>
    <t>Lafler, Kirk Paul-SAS Institute.</t>
  </si>
  <si>
    <t>Full Fathom Five</t>
  </si>
  <si>
    <t>Ocean Warming and a Father's Legacy</t>
  </si>
  <si>
    <t>Arcade Publishing</t>
  </si>
  <si>
    <t>SCIENCE / Global Warming &amp; Climate Change</t>
  </si>
  <si>
    <t>GE160.B2 C42 2013</t>
  </si>
  <si>
    <t>Fathers and sons.,Global warming--Bahamas.,Marine fishes--Ecology--Bahamas.,Ocean temperature--Bahamas.,Scientists--Bahamas--Biography.</t>
  </si>
  <si>
    <t>Chaplin, Gordon.</t>
  </si>
  <si>
    <t>Trigger Happy</t>
  </si>
  <si>
    <t>GAMES &amp; ACTIVITIES / Video &amp; Electronic</t>
  </si>
  <si>
    <t>GV1469.3</t>
  </si>
  <si>
    <t>Video games.,Video games--History.,Video games--Social aspects.</t>
  </si>
  <si>
    <t>Poole, Steven</t>
  </si>
  <si>
    <t>The Adventure of English</t>
  </si>
  <si>
    <t>The Biography of a Language</t>
  </si>
  <si>
    <t>PE1075 .B66 2011</t>
  </si>
  <si>
    <t>English language--History.</t>
  </si>
  <si>
    <t>Bragg, Melvyn.</t>
  </si>
  <si>
    <t>Scrolling Forward: Making Sense of Documents in the Digital Age</t>
  </si>
  <si>
    <t>P214 .L48 2011eb</t>
  </si>
  <si>
    <t>Communication and technology.,Digital communications--Social aspects.,Written communication--Social aspects.</t>
  </si>
  <si>
    <t>Levy, David M.</t>
  </si>
  <si>
    <t>Contemporary Art in the Light of History</t>
  </si>
  <si>
    <t>ART / Criticism &amp; Theory</t>
  </si>
  <si>
    <t>N6490 .R597 2013</t>
  </si>
  <si>
    <t>Art and history.,Art, Modern--20th century.</t>
  </si>
  <si>
    <t>Rosenthal, Erwin-Rosenthal, Deborah.-Esplund, Lance.</t>
  </si>
  <si>
    <t>Children Are Diamonds</t>
  </si>
  <si>
    <t>An African Apocalypse</t>
  </si>
  <si>
    <t>PS3558.O334 C49 2013eb</t>
  </si>
  <si>
    <t>Americans--Kenya--Fiction.,Americans--South Sudan--Fiction.,Child soldiers--Africa--Fiction.,Humanitarian assistance--Africa--Fiction.</t>
  </si>
  <si>
    <t>The Changing Concept of Reality in Art</t>
  </si>
  <si>
    <t>N6350</t>
  </si>
  <si>
    <t>Art, Abstract.,Art--History.,Realism in art.</t>
  </si>
  <si>
    <t>Rosenthal, Erwin-Rosenthal, Deborah.</t>
  </si>
  <si>
    <t>Exhibiting Cinema in Contemporary Art</t>
  </si>
  <si>
    <t>PN1995.25 .B35 2013eb</t>
  </si>
  <si>
    <t>Art and motion pictures.,Art in motion pictures.,Motion picture industry--Technological innovations.,Motion pictures and the arts.</t>
  </si>
  <si>
    <t>Balsom, Erika</t>
  </si>
  <si>
    <t>Practicing the Path</t>
  </si>
  <si>
    <t>A Commentary on the Lamrim Chenmo</t>
  </si>
  <si>
    <t>BQ7950.T754 L344439 2003eb</t>
  </si>
  <si>
    <t>Buddhism.,Buddhist literature, Tibetan.</t>
  </si>
  <si>
    <t>Yangsi-Adams, Miranda.-Tuladhar, Tsering.</t>
  </si>
  <si>
    <t>I Wasn't Strong Like This When I Started Out: True Stories of Becoming a Nurse</t>
  </si>
  <si>
    <t>RT34 .I2 2013eb</t>
  </si>
  <si>
    <t>Nurses' writings.,Nurses--Biography.,Nursing.</t>
  </si>
  <si>
    <t>Feinstein, Karen Wolk.-Gutkind, Lee.</t>
  </si>
  <si>
    <t>Blood</t>
  </si>
  <si>
    <t>The Stuff of Life</t>
  </si>
  <si>
    <t>House of Anansi Press</t>
  </si>
  <si>
    <t>GT498.B55</t>
  </si>
  <si>
    <t>Blood--Social aspects.</t>
  </si>
  <si>
    <t>Hill, Lawrence</t>
  </si>
  <si>
    <t>CBC Massey Lectures Series</t>
  </si>
  <si>
    <t>Quand le show devient business</t>
  </si>
  <si>
    <t>Prologue, Inc.</t>
  </si>
  <si>
    <t>OCTAVE</t>
  </si>
  <si>
    <t>PN1584 .B43 2012eb</t>
  </si>
  <si>
    <t>Performing arts--Management.,Performing arts--Marketing.</t>
  </si>
  <si>
    <t>Beaubien, Yzabel</t>
  </si>
  <si>
    <t>Hors-collection</t>
  </si>
  <si>
    <t>Whitney Houston!</t>
  </si>
  <si>
    <t>The Spectacular Rise and Tragic Fall of the Woman Whose Voice Inspired a Generation</t>
  </si>
  <si>
    <t>ML420.H68 B44 2012eb</t>
  </si>
  <si>
    <t>African American women singers--United States--Biography.,Motion picture actors and actresses--United States--Biography.,Singers--United States--Biography.</t>
  </si>
  <si>
    <t>Bego, Mark.</t>
  </si>
  <si>
    <t>Why Do Cats Like Catnip?</t>
  </si>
  <si>
    <t>324 Questions and Answers to Astound and Amaze</t>
  </si>
  <si>
    <t>SCIENCE / Reference</t>
  </si>
  <si>
    <t>Q162 .G62 2012eb</t>
  </si>
  <si>
    <t>Science--Miscellanea.,Scientific recreations.</t>
  </si>
  <si>
    <t>Goldwyn, Martin M.</t>
  </si>
  <si>
    <t>Whitetail Savvy</t>
  </si>
  <si>
    <t>New Research and Observations About America's Most Popular Big Game Animal</t>
  </si>
  <si>
    <t>SPORTS &amp; RECREATION / Hunting</t>
  </si>
  <si>
    <t>QL737.U55 R85 2013</t>
  </si>
  <si>
    <t>White-tailed deer.</t>
  </si>
  <si>
    <t>Rue, Leonard Lee.</t>
  </si>
  <si>
    <t>Weeding Without Chemicals</t>
  </si>
  <si>
    <t>Bob's Basics</t>
  </si>
  <si>
    <t>GARDENING / Vegetables</t>
  </si>
  <si>
    <t>SB611</t>
  </si>
  <si>
    <t>Weeds--Control.</t>
  </si>
  <si>
    <t>Flowerdew, Bob.</t>
  </si>
  <si>
    <t>Venomous Snakes of the World</t>
  </si>
  <si>
    <t>A Manual for Use by U.S. Amphibious Forces</t>
  </si>
  <si>
    <t>NATURE / Animals / Reptiles &amp; Amphibians</t>
  </si>
  <si>
    <t>QL666.O6 U55 2013eb</t>
  </si>
  <si>
    <t>Poisonous snakes.,Poisonous snakes--Venom--Toxicology.</t>
  </si>
  <si>
    <t>Shupe, Scott-United States.</t>
  </si>
  <si>
    <t>Unhooked</t>
  </si>
  <si>
    <t>How to Quit Anything</t>
  </si>
  <si>
    <t>RC533 .W66 2012</t>
  </si>
  <si>
    <t>Addicts.,Addicts--Rehabilitation.,Alcoholism--Treatment.,Compulsive behavior.,Compulsive behavior--Psychological aspects--Popular works.,Compulsive behavior--Treatment--Popular works.,Drug addiction--Treatment.,Nicotine addiction--Treatment.,Self-help techniques.,Substance abuse.</t>
  </si>
  <si>
    <t>Woolverton, Frederick.-Shapiro, Susan.</t>
  </si>
  <si>
    <t>Touching the Wild</t>
  </si>
  <si>
    <t>Living with the Mule Deer of Deadman Gulch</t>
  </si>
  <si>
    <t>NATURE / Animals / Wildlife</t>
  </si>
  <si>
    <t>QL737.U55 H88 2014eb</t>
  </si>
  <si>
    <t>Mule deer--Behavior.,Mule deer--Wyoming.</t>
  </si>
  <si>
    <t>Hutto, Joe.</t>
  </si>
  <si>
    <t>The Weekend Homesteader</t>
  </si>
  <si>
    <t>A Twelve-Month Guide to Self-Sufficiency</t>
  </si>
  <si>
    <t>HOUSE &amp; HOME / Sustainable Living</t>
  </si>
  <si>
    <t>GF78 .H47 2012eb</t>
  </si>
  <si>
    <t>Self-reliant living.</t>
  </si>
  <si>
    <t>Hess, Anna</t>
  </si>
  <si>
    <t>The Supervillain Handbook</t>
  </si>
  <si>
    <t>The Ultimate How-to Guide to Destruction and Mayhem</t>
  </si>
  <si>
    <t>PN6231.C73 S87 2012eb</t>
  </si>
  <si>
    <t>Comic books, strips, etc.,Criminals--Humor.,Superheroes--Humor.,Villains in literature.</t>
  </si>
  <si>
    <t>Wilson, Matt D.</t>
  </si>
  <si>
    <t>The Simple Joys of Grandparenting</t>
  </si>
  <si>
    <t>Stories, Nursery Rhymes, Recipes, Games, Crafts, and More</t>
  </si>
  <si>
    <t>FAMILY &amp; RELATIONSHIPS / Parenting / Grandparenting</t>
  </si>
  <si>
    <t>HQ759.9 .G44 2012eb</t>
  </si>
  <si>
    <t>Creative activities and seat work.,Grandchildren--Care.,Grandparent and child.,Grandparenting.</t>
  </si>
  <si>
    <t>Gehring, Abigail R.-Gehring, Martha M.</t>
  </si>
  <si>
    <t>The Ultimate Guides</t>
  </si>
  <si>
    <t>The Pocket Guide to Wild Mushrooms</t>
  </si>
  <si>
    <t>Helpful Tips for Mushrooming in the Field</t>
  </si>
  <si>
    <t>NATURE / Plants / Mushrooms</t>
  </si>
  <si>
    <t>QK617</t>
  </si>
  <si>
    <t>Mushrooms--Handbooks, manuals, etc.</t>
  </si>
  <si>
    <t>Holmberg, Pelle.-HedstroÌˆm, Ellen.-Marklund, Hans.</t>
  </si>
  <si>
    <t>The Little Red Book of Musician's Wisdom</t>
  </si>
  <si>
    <t>MUSIC / Reference</t>
  </si>
  <si>
    <t>PN6084.M8 L58 2012eb</t>
  </si>
  <si>
    <t>Music--Quotations, maxims, etc.</t>
  </si>
  <si>
    <t>Anderson, Sheila E.</t>
  </si>
  <si>
    <t>Little Red Books</t>
  </si>
  <si>
    <t>The Little Red Book of Leadership Lessons</t>
  </si>
  <si>
    <t>BUSINESS &amp; ECONOMICS / Leadership</t>
  </si>
  <si>
    <t>HM1261</t>
  </si>
  <si>
    <t>Leadership.</t>
  </si>
  <si>
    <t>Palmisano, Donald J.-Jindal, Bobby</t>
  </si>
  <si>
    <t>The Little Red Book of Horse Wisdom</t>
  </si>
  <si>
    <t>PETS / Horses</t>
  </si>
  <si>
    <t>SF285 .L57 2012eb</t>
  </si>
  <si>
    <t>Horses--Miscellanea.,Horses--Quotations, maxims, etc.</t>
  </si>
  <si>
    <t>Grant, Yvette.</t>
  </si>
  <si>
    <t>The Little Black Book of Mafia Wisdom</t>
  </si>
  <si>
    <t>Secrets, Lies, Tricks, and Tactics of the Organization That Was Once Bigger Than U.S. Steel</t>
  </si>
  <si>
    <t>TRUE CRIME / Organized Crime</t>
  </si>
  <si>
    <t>HV6441 .L585 2012eb</t>
  </si>
  <si>
    <t>Mafia--Miscellanea.,Mafia--Quotations.</t>
  </si>
  <si>
    <t>Jacques, Wesley.</t>
  </si>
  <si>
    <t>The FBI File on Steve Jobs</t>
  </si>
  <si>
    <t>BIOGRAPHY &amp; AUTOBIOGRAPHY / Business</t>
  </si>
  <si>
    <t>QA76.2.J63 U5 2012</t>
  </si>
  <si>
    <t>Computer engineers--United States--Biography.</t>
  </si>
  <si>
    <t>Federal Bureau of Investigatio of Investigation</t>
  </si>
  <si>
    <t>The Developing Brain</t>
  </si>
  <si>
    <t>Building Language, Reading, Physical, Social, and Cognitive Skills From Birth to Age Eight</t>
  </si>
  <si>
    <t>QP363.5 .S67 2013</t>
  </si>
  <si>
    <t>Child development.,Developmental neurobiology.</t>
  </si>
  <si>
    <t>Sprenger, Marilee.</t>
  </si>
  <si>
    <t>The Complete Guide to Edible Wild Plants</t>
  </si>
  <si>
    <t>QK98.5.A1 C66 2009</t>
  </si>
  <si>
    <t>Wild plants, Edible--Handbooks, manuals, etc.</t>
  </si>
  <si>
    <t>Army.</t>
  </si>
  <si>
    <t>Sowing, Planting, Watering, and Feeding</t>
  </si>
  <si>
    <t>SB121</t>
  </si>
  <si>
    <t>Gardening.,Planting (Plant culture),Sowing.</t>
  </si>
  <si>
    <t>Smart Spanish for Tontos Americanos</t>
  </si>
  <si>
    <t>Over 3,000 Slang Expressions, Proverbs, Idioms, and Other Tricky Spanish Words and Phrases They Didn't Teach You in School</t>
  </si>
  <si>
    <t>Skyhorse Publishing</t>
  </si>
  <si>
    <t>FOREIGN LANGUAGE STUDY / Spanish</t>
  </si>
  <si>
    <t>PC4971 .H36 2012</t>
  </si>
  <si>
    <t>Spanish language--Dictionaries--English.,Spanish language--Glossaries, vocabularies, etc.,Spanish language--Idioms--Glossaries, vocabularies, etc.,Spanish language--Mexico--Dictionaries.,Spanish language--Slang--Glossaries, vocabularies, etc.</t>
  </si>
  <si>
    <t>Hamer, Eleanor-DiÌez de Urdanivia, Fernando</t>
  </si>
  <si>
    <t>Simple Green Pest and Disease Control</t>
  </si>
  <si>
    <t>SB974</t>
  </si>
  <si>
    <t>Garden pests--Control.,Organic gardening.,Plants--Diseases and pests--Control.</t>
  </si>
  <si>
    <t>Pruning, Training, and Tidying</t>
  </si>
  <si>
    <t>SB125</t>
  </si>
  <si>
    <t>Plants--Training.,Pruning.</t>
  </si>
  <si>
    <t>Neptune Speaks</t>
  </si>
  <si>
    <t>NATURE / Animals / Fish</t>
  </si>
  <si>
    <t>QL616.W56</t>
  </si>
  <si>
    <t>Fishes--Tropics.,Fishes--Tropics--Pictorial works.</t>
  </si>
  <si>
    <t>Wintner, Robert.</t>
  </si>
  <si>
    <t>Mother Knows Best?</t>
  </si>
  <si>
    <t>The Truth About Mom's Well-Meaning (But Not Always Accurate) Advice</t>
  </si>
  <si>
    <t>HUMOR / Topic / Marriage &amp; Family</t>
  </si>
  <si>
    <t>GR471 .C37 2012eb</t>
  </si>
  <si>
    <t>Folklore--United States.,Life skills.,Motherhood in popular culture.,Mothers--Folklore.</t>
  </si>
  <si>
    <t>Castle, Sue.</t>
  </si>
  <si>
    <t>Mini Farming Guide to Vegetable Gardening</t>
  </si>
  <si>
    <t>Self-Sufficiency From Asparagus to Zucchini</t>
  </si>
  <si>
    <t>SB321 .M37 2012eb</t>
  </si>
  <si>
    <t>Vegetable gardening.</t>
  </si>
  <si>
    <t>Markham, Brett L.</t>
  </si>
  <si>
    <t>Me and My Cat</t>
  </si>
  <si>
    <t>Amazing and Endearing True Stories</t>
  </si>
  <si>
    <t>PETS / Cats / General</t>
  </si>
  <si>
    <t>SF445.7 .M4 2012eb</t>
  </si>
  <si>
    <t>Cats--Anecdotes.</t>
  </si>
  <si>
    <t>Reilly, Carmel.</t>
  </si>
  <si>
    <t>Marilyn Monroe</t>
  </si>
  <si>
    <t>Private and Confidential</t>
  </si>
  <si>
    <t>PN2287.M69 M65 2012eb</t>
  </si>
  <si>
    <t>Motion picture actors and actresses--United States--Biography.</t>
  </si>
  <si>
    <t>Morgan, Michelle</t>
  </si>
  <si>
    <t>Jimmy Stewart</t>
  </si>
  <si>
    <t>The Truth Behind the Legend</t>
  </si>
  <si>
    <t>PN2287.S68 M86 2013</t>
  </si>
  <si>
    <t>Munn, Michael.</t>
  </si>
  <si>
    <t>How to Do Absolutely Everything</t>
  </si>
  <si>
    <t>Homegrown Projects From Real Do-It-Yourself Experts</t>
  </si>
  <si>
    <t>TX145 .H866 2012eb</t>
  </si>
  <si>
    <t>Handicraft.,Home economics.</t>
  </si>
  <si>
    <t>James, Sarah.-Instructables (Firm)</t>
  </si>
  <si>
    <t>How Long Can a Fly Fly?</t>
  </si>
  <si>
    <t>175 Answers to Possible and Impossible Questions About Animals</t>
  </si>
  <si>
    <t>QL49 .J37 2012eb</t>
  </si>
  <si>
    <t>Animals--Miscellanea.</t>
  </si>
  <si>
    <t>Janzon, Lars-AÌŠke.</t>
  </si>
  <si>
    <t>Detect Deceit</t>
  </si>
  <si>
    <t>How to Become a Human Lie Detector in Under 60 Minutes</t>
  </si>
  <si>
    <t>SOCIAL SCIENCE / Body Language &amp; Nonverbal Communication</t>
  </si>
  <si>
    <t>BF637.D42 C73 2012eb</t>
  </si>
  <si>
    <t>Body language.,Deception.,Truthfulness and falsehood.</t>
  </si>
  <si>
    <t>Craig, David</t>
  </si>
  <si>
    <t>Deadly Outbreaks</t>
  </si>
  <si>
    <t>How Medical Detectives Save Lives Threatened by Killer Pandemics, Exotic Viruses, and Drug-Resistant Parasites</t>
  </si>
  <si>
    <t>QH1 .L348 2013eb</t>
  </si>
  <si>
    <t>Communicable diseases--History.,Communicable diseases--Prevention.,Epidemics--History.,Infection--History.</t>
  </si>
  <si>
    <t>Levitt, Alexandra M.</t>
  </si>
  <si>
    <t>Composting</t>
  </si>
  <si>
    <t>S661</t>
  </si>
  <si>
    <t>Compost--Handbooks, manuals, etc.</t>
  </si>
  <si>
    <t>Companion Planting</t>
  </si>
  <si>
    <t>SB453.6</t>
  </si>
  <si>
    <t>Companion planting--Handbooks, manuals, etc.</t>
  </si>
  <si>
    <t>Le radical de velours  : Parcours militant</t>
  </si>
  <si>
    <t>M EDITEUR</t>
  </si>
  <si>
    <t>HV28.S16 A3 2012eb</t>
  </si>
  <si>
    <t>Political activists--QueÂ´bec (Province)--Biography.,Social justice--QueÂ´bec (Province),Social problems--QueÂ´bec (Province)</t>
  </si>
  <si>
    <t>Saillant, FrancÌ§ois.</t>
  </si>
  <si>
    <t>Collection Militantismes</t>
  </si>
  <si>
    <t>Art, politique, rÃ©volution : Manifestes pour l'indÃ©pendance</t>
  </si>
  <si>
    <t>ART / Performance</t>
  </si>
  <si>
    <t>NX180.F74 G55 2012eb</t>
  </si>
  <si>
    <t>Art movements.,Arts and revolutions.,Arts, Modern--20th century.,Arts--Political aspects.,Freedom and art.,Freedom and art--QueÂ´bec (Province)</t>
  </si>
  <si>
    <t>Gill, Louis</t>
  </si>
  <si>
    <t>Collection Mouvements</t>
  </si>
  <si>
    <t>Independent Film Producing</t>
  </si>
  <si>
    <t>How to Produce a Low-Budget Feature Film</t>
  </si>
  <si>
    <t>PERFORMING ARTS / Film / Direction &amp; Production</t>
  </si>
  <si>
    <t>PN1995.9.P7 B345 2013eb</t>
  </si>
  <si>
    <t>Independent films--Production and direction.,Low budget films--Production and direction.</t>
  </si>
  <si>
    <t>Battista, Paul.</t>
  </si>
  <si>
    <t>The Email Revolution</t>
  </si>
  <si>
    <t>Unleashing the Power to Connect</t>
  </si>
  <si>
    <t>BUSINESS &amp; ECONOMICS / Sales &amp; Selling / General</t>
  </si>
  <si>
    <t>HF5415.1265 .S5335 2013</t>
  </si>
  <si>
    <t>Branding (Marketing),Electronic mail messages.,Internet marketing.</t>
  </si>
  <si>
    <t>Ayyadurai, V. A. Shiva.</t>
  </si>
  <si>
    <t>Ceramics</t>
  </si>
  <si>
    <t>A Beginner's Guide to Tools and Techniques</t>
  </si>
  <si>
    <t>CRAFTS &amp; HOBBIES / Pottery &amp; Ceramics</t>
  </si>
  <si>
    <t>TT920 .L34 2012</t>
  </si>
  <si>
    <t>Pottery craft--Equipment and supplies.</t>
  </si>
  <si>
    <t>Landberger, Elisabeth.-Lundin, Mita.</t>
  </si>
  <si>
    <t>The Interior Design Sourcebook</t>
  </si>
  <si>
    <t>ARCHITECTURE / Interior Design / General</t>
  </si>
  <si>
    <t>TA403.6 .W55 2012</t>
  </si>
  <si>
    <t>Interior architecture.,Materials.</t>
  </si>
  <si>
    <t>Williams, Thomas L.</t>
  </si>
  <si>
    <t>Line Color Form</t>
  </si>
  <si>
    <t>The Language of Art and Design</t>
  </si>
  <si>
    <t>N7425 .D35 2013</t>
  </si>
  <si>
    <t>Art.,Design.</t>
  </si>
  <si>
    <t>Day, Jesse.</t>
  </si>
  <si>
    <t>My Life in The New York Times</t>
  </si>
  <si>
    <t>ART / Individual Artists / Monographs</t>
  </si>
  <si>
    <t>N7433.4.B59</t>
  </si>
  <si>
    <t>Artists' books--New York (State)--New York.,Artists' books--Specimens.,Clippings (Books, newspapers, etc.)--In art.,Newspapers in art.</t>
  </si>
  <si>
    <t>Bleckner, Ross.</t>
  </si>
  <si>
    <t>The Business of Writing</t>
  </si>
  <si>
    <t>Professional Advice on Proposals, Publishers, Contracts, and More for the Aspiring Writer</t>
  </si>
  <si>
    <t>PN161 .B88 2012eb</t>
  </si>
  <si>
    <t>Authors and publishers.,Authorship--Marketing.</t>
  </si>
  <si>
    <t>Lyons, Jennifer.</t>
  </si>
  <si>
    <t>The Art of Motion Picture Editing</t>
  </si>
  <si>
    <t>An Essential Guide to Methods, Principles, Processes, and Terminology</t>
  </si>
  <si>
    <t>TR899 .L62 2012eb</t>
  </si>
  <si>
    <t>Motion pictures--Editing.</t>
  </si>
  <si>
    <t>LoBrutto, Vincent.</t>
  </si>
  <si>
    <t>Long-Form Improv</t>
  </si>
  <si>
    <t>The Complete Guide to Creating Characters, Sustaining Scenes, and Performing Extraordinary Harolds</t>
  </si>
  <si>
    <t>PERFORMING ARTS / Comedy</t>
  </si>
  <si>
    <t>PN2071.I5 H285 2012eb</t>
  </si>
  <si>
    <t>Improvisation (Acting)</t>
  </si>
  <si>
    <t>Hauck, Ben</t>
  </si>
  <si>
    <t>Green Interior Design</t>
  </si>
  <si>
    <t>NK2113 .D48 2010eb</t>
  </si>
  <si>
    <t>Interior decoration--Environmental aspects.</t>
  </si>
  <si>
    <t>Dennis, Lori.</t>
  </si>
  <si>
    <t>Interior Design Practice</t>
  </si>
  <si>
    <t>NK2116 .I59 2010eb</t>
  </si>
  <si>
    <t>Interior decoration--Practice.</t>
  </si>
  <si>
    <t>Coleman, Cindy.</t>
  </si>
  <si>
    <t>Kant in the Land of Extraterrestrials</t>
  </si>
  <si>
    <t>Cosmopolitical Philosofictions</t>
  </si>
  <si>
    <t>B2799.C82 S9413 2013eb</t>
  </si>
  <si>
    <t>Cosmopolitanism.,Science fiction--Philosophy.</t>
  </si>
  <si>
    <t>Szendy, Peter.</t>
  </si>
  <si>
    <t>Common Things</t>
  </si>
  <si>
    <t>Romance and the Aesthetics of Belonging in Atlantic Modernity</t>
  </si>
  <si>
    <t>PN45 .L467 2014eb</t>
  </si>
  <si>
    <t>Literature--Philosophy--History.</t>
  </si>
  <si>
    <t>Lilley, James D.</t>
  </si>
  <si>
    <t>Spirit, Qi, and the Multitude</t>
  </si>
  <si>
    <t>A Comparative Theology for the Democracy of Creation</t>
  </si>
  <si>
    <t>B127.C49</t>
  </si>
  <si>
    <t>Cosmology.,Philosophy, Chinese.,Philosophy, Korean.,Philosophy, Modern.,Qi (Chinese philosophy),Spirit.</t>
  </si>
  <si>
    <t>Lee, Hyo-Dong.</t>
  </si>
  <si>
    <t>Comparative Theology: Thinking Across Traditions</t>
  </si>
  <si>
    <t>Drawing the Line</t>
  </si>
  <si>
    <t>Toward an Aesthetics of Transitional Justice</t>
  </si>
  <si>
    <t>PN56.L33 C58 2014eb</t>
  </si>
  <si>
    <t>Authors, South African--Aesthetics.,Justice in literature.,Law and aesthetics.,Law and ethics.,Transitional justice--South Africa.</t>
  </si>
  <si>
    <t>Clarkson, Carrol</t>
  </si>
  <si>
    <t>Just Ideas: Transformative Ideals of Justice in Ethical and Political Thought</t>
  </si>
  <si>
    <t>Alexandrian Cosmopolitanism</t>
  </si>
  <si>
    <t>An Archive</t>
  </si>
  <si>
    <t>PN56.3.A42 H35 2013eb</t>
  </si>
  <si>
    <t>Cosmopolitanism in literature.,European literature--19th century--History and criticism.,European literature--20th century--History and criticism.</t>
  </si>
  <si>
    <t>Halim, Hala.</t>
  </si>
  <si>
    <t>Advances in Cyber Security</t>
  </si>
  <si>
    <t>Technology, Operations, and Experiences</t>
  </si>
  <si>
    <t>COMPUTERS / Security / Online Safety &amp; Privacy</t>
  </si>
  <si>
    <t>TK5105.875.I57 A343 2013eb</t>
  </si>
  <si>
    <t>Computer networks--Security measures.,Cyberspace--Security measures.,Internet--Security measures.</t>
  </si>
  <si>
    <t>Hsu, D. Frank-Marinucci, Dorothy.</t>
  </si>
  <si>
    <t>Interpreting Nature</t>
  </si>
  <si>
    <t>The Emerging Field of Environmental Hermeneutics</t>
  </si>
  <si>
    <t>GF21 .I58 2014eb</t>
  </si>
  <si>
    <t>Hermeneutics.,Human ecology--Philosophy.</t>
  </si>
  <si>
    <t>Clingerman, Forrest.</t>
  </si>
  <si>
    <t>Groundworks: Ecological Issues in Philosophy and Theology</t>
  </si>
  <si>
    <t>History and Hope</t>
  </si>
  <si>
    <t>The International Humanitarian Reader</t>
  </si>
  <si>
    <t>SOCIAL SCIENCE / Disasters &amp; Disaster Relief</t>
  </si>
  <si>
    <t>HV544.5 .H57 2013eb</t>
  </si>
  <si>
    <t>Humanitarian assistance.,Humanitarianism.,International relief.</t>
  </si>
  <si>
    <t>The Accidental Playground</t>
  </si>
  <si>
    <t>Brooklyn Waterfront Narratives of the Undesigned and Unplanned</t>
  </si>
  <si>
    <t>SOCIAL SCIENCE / Sociology / Urban</t>
  </si>
  <si>
    <t>HT281 .C36 2013</t>
  </si>
  <si>
    <t>Communities--New York (State)--Brooklyn.,Recreation--New York (State)--Brooklyn.,Waste lands--Recreational use--New York (State)--Brooklyn.,Waterfronts--Recreational use--New York (State)--Brooklyn.</t>
  </si>
  <si>
    <t>Campo, Daniel.</t>
  </si>
  <si>
    <t>More with Less</t>
  </si>
  <si>
    <t>Disasters in an Era of Diminishing Resources</t>
  </si>
  <si>
    <t>HV553 .M668 2012eb</t>
  </si>
  <si>
    <t>Disaster relief.,Humanitarian assistance.,International relief.</t>
  </si>
  <si>
    <t>Even in Chaos</t>
  </si>
  <si>
    <t>Education in Times of Emergency</t>
  </si>
  <si>
    <t>LB1060 .E96 2010eb</t>
  </si>
  <si>
    <t>Chaotic behavior in systems.,Cognition in children.,Crisis management.,Interdisciplinary approach to knowledge.</t>
  </si>
  <si>
    <t>The Pulse of Humanitarian Assistance</t>
  </si>
  <si>
    <t>HV553 .P85 2007eb</t>
  </si>
  <si>
    <t>Conflict management.,Disaster relief.,Humanitarian assistance.,International relief.</t>
  </si>
  <si>
    <t>International Humanitarian Affairs Series</t>
  </si>
  <si>
    <t>Sign Language Research, Uses and Practices</t>
  </si>
  <si>
    <t>Crossing Views on Theoretical and Applied Sign Language Linguistics</t>
  </si>
  <si>
    <t>HV2474 .M48 2013</t>
  </si>
  <si>
    <t>Sign language.</t>
  </si>
  <si>
    <t>Meurant, Laurence.</t>
  </si>
  <si>
    <t>Sign Languages and Deaf Communities</t>
  </si>
  <si>
    <t>Large Scale Inverse Problems</t>
  </si>
  <si>
    <t>Computational Methods and Applications in the Earth Sciences</t>
  </si>
  <si>
    <t>MATHEMATICS / Mathematical Analysis</t>
  </si>
  <si>
    <t>QA378.5 .L37 2013</t>
  </si>
  <si>
    <t>Inverse problems (Differential equations)</t>
  </si>
  <si>
    <t>Scheichl, Robert.-Kindermann, Stefan.-Freitag, Melina A.-Cullen, Mike.</t>
  </si>
  <si>
    <t>Radon Series on Computational and Applied Mathematics</t>
  </si>
  <si>
    <t>Beyond Broadband Access</t>
  </si>
  <si>
    <t>Developing Data-Based Information Policy Strategies</t>
  </si>
  <si>
    <t>HE7645 .B489 2013</t>
  </si>
  <si>
    <t>Broadband communication systems.,Telecommunication policy.</t>
  </si>
  <si>
    <t>Taylor, Richard D.-Schejter, Amit M.</t>
  </si>
  <si>
    <t>Donald McGannon Research Center's Everett C. Parker Book Series (FUP)</t>
  </si>
  <si>
    <t>Hezbollah</t>
  </si>
  <si>
    <t>The Global Footprint of Lebanon's Party of God</t>
  </si>
  <si>
    <t>Georgetown University Press</t>
  </si>
  <si>
    <t>POLITICAL SCIENCE / Security (National &amp; International)</t>
  </si>
  <si>
    <t>JQ1828.A98 L48 2013eb</t>
  </si>
  <si>
    <t>Levitt, Matthew</t>
  </si>
  <si>
    <t>Darkest Hour, Finest Hour</t>
  </si>
  <si>
    <t>Norway, Dunkirk and the Battle of Britain: Britain at War</t>
  </si>
  <si>
    <t>Andrews UK Ltd.</t>
  </si>
  <si>
    <t>Andrews UK</t>
  </si>
  <si>
    <t>D759</t>
  </si>
  <si>
    <t>World War, 1939-1945--Campaigns--Europe, Western.,World War, 1939-1945--Great Britain.</t>
  </si>
  <si>
    <t>Shepley, Nick</t>
  </si>
  <si>
    <t>Life After Divorce</t>
  </si>
  <si>
    <t>Create a New Beginning</t>
  </si>
  <si>
    <t>Health Communications, Inc.</t>
  </si>
  <si>
    <t>HCI</t>
  </si>
  <si>
    <t>FAMILY &amp; RELATIONSHIPS / Divorce &amp; Separation</t>
  </si>
  <si>
    <t>HQ814 .W44 2012eb</t>
  </si>
  <si>
    <t>Divorce counseling.,Divorce.,Divorced people--Counseling of.</t>
  </si>
  <si>
    <t>Wegscheider-Cruse, Sharon</t>
  </si>
  <si>
    <t>Ethical Wisdom for Friends</t>
  </si>
  <si>
    <t>How to Navigate Life's Most Complicated, Curious, and Common Relationship Dilemmas</t>
  </si>
  <si>
    <t>BJ1533.F8 M336 2012eb</t>
  </si>
  <si>
    <t>Friendship.</t>
  </si>
  <si>
    <t>Matousek, Mark.</t>
  </si>
  <si>
    <t>Soul Food</t>
  </si>
  <si>
    <t>Stories to Keep You Mentally Strong, Emotionally Awake, &amp; Ethically Straight</t>
  </si>
  <si>
    <t>Health Communications Inc EB</t>
  </si>
  <si>
    <t>SELF-HELP / Motivational &amp; Inspirational</t>
  </si>
  <si>
    <t>BJ1597 .C53 2012eb</t>
  </si>
  <si>
    <t>Conduct of life--Anecdotes.</t>
  </si>
  <si>
    <t>Clark, Dan</t>
  </si>
  <si>
    <t>The ACOA Trauma Syndrome</t>
  </si>
  <si>
    <t>The Impact of Childhood Pain on Adult Relationships</t>
  </si>
  <si>
    <t>SELF-HELP / Codependency</t>
  </si>
  <si>
    <t>RC569.5.A29 D39 2012eb</t>
  </si>
  <si>
    <t>Adult children of alcoholics--Mental health.,Alcoholism.,Children of alcoholics.</t>
  </si>
  <si>
    <t>Dayton, Tian.</t>
  </si>
  <si>
    <t>The Song in You</t>
  </si>
  <si>
    <t>Finding Your Voice, Redefining Your Life</t>
  </si>
  <si>
    <t>RELIGION / Inspirational</t>
  </si>
  <si>
    <t>BJ1589 .G38 2012eb</t>
  </si>
  <si>
    <t>Conduct of life.,Self-realization.</t>
  </si>
  <si>
    <t>Gatlin, LaDonna.-Marino, Mike</t>
  </si>
  <si>
    <t>Growing Happy Kids</t>
  </si>
  <si>
    <t>How to Foster Inner Confidence, Success, and Happiness</t>
  </si>
  <si>
    <t>FAMILY &amp; RELATIONSHIPS / Parenting / Child Rearing</t>
  </si>
  <si>
    <t>BF723.S77 H43 2012eb</t>
  </si>
  <si>
    <t>Child rearing.,Confidence in children.,Happiness in children.,Success in children.</t>
  </si>
  <si>
    <t>Healy, Maureen</t>
  </si>
  <si>
    <t>The Brain Fix</t>
  </si>
  <si>
    <t>What's the Matter with Your Gray Matter: Improve Your Memory, Moods, and Mind</t>
  </si>
  <si>
    <t>QP376 .C366 2012eb</t>
  </si>
  <si>
    <t>Brain--Care and hygiene.,Health.</t>
  </si>
  <si>
    <t>Carson, Ralph E.</t>
  </si>
  <si>
    <t>Confederate Bushwhacker</t>
  </si>
  <si>
    <t>Mark Twain in the Shadow of the Civil War</t>
  </si>
  <si>
    <t>University Press of New England</t>
  </si>
  <si>
    <t>PS1332 .L68 2013eb</t>
  </si>
  <si>
    <t>Authors, American--19th century--Biography.,Humorists, American--19th century--Biography.,Soldiers--Confederate States of America--Biography.,Veterans--Confederate States of America--Biography.</t>
  </si>
  <si>
    <t>Loving, Jerome</t>
  </si>
  <si>
    <t>The Handy Astronomy Answer Book</t>
  </si>
  <si>
    <t>QB52 .L58 2014eb</t>
  </si>
  <si>
    <t>Astronomy--Miscellanea.</t>
  </si>
  <si>
    <t>Liu, Charles</t>
  </si>
  <si>
    <t>Meaning</t>
  </si>
  <si>
    <t>B105.M4 P64</t>
  </si>
  <si>
    <t>Meaning (Philosophy)</t>
  </si>
  <si>
    <t>Polanyi, Michael-Prosch, Harry</t>
  </si>
  <si>
    <t>A Phoenix Book</t>
  </si>
  <si>
    <t>Lessons in Secular Criticism</t>
  </si>
  <si>
    <t>Criticism.,Literature--Philosophy.,Religion and literature.,Secularism in literature.</t>
  </si>
  <si>
    <t>Gourgouris, Stathis</t>
  </si>
  <si>
    <t>Thinking Out Loud</t>
  </si>
  <si>
    <t>Where Have the Old Words Got Me?</t>
  </si>
  <si>
    <t>Explications of Dylan Thomas's Collected Poems</t>
  </si>
  <si>
    <t>McGill-Queen's University Press</t>
  </si>
  <si>
    <t>MQUP</t>
  </si>
  <si>
    <t>PR6039.H52 Z7712 2003eb</t>
  </si>
  <si>
    <t>Maud, Ralph.</t>
  </si>
  <si>
    <t>Reflections on the Logic of the Good</t>
  </si>
  <si>
    <t>Lexington Books</t>
  </si>
  <si>
    <t>PHILOSOPHY / Metaphysics</t>
  </si>
  <si>
    <t>BJ1401 .C69 2007</t>
  </si>
  <si>
    <t>Good and evil.,Logic.</t>
  </si>
  <si>
    <t>Cox, Chana B.</t>
  </si>
  <si>
    <t>Doping and Drugs in Sport</t>
  </si>
  <si>
    <t>LAW / Administrative Law &amp; Regulatory Practice</t>
  </si>
  <si>
    <t>RC1230</t>
  </si>
  <si>
    <t>Athletes--Drug use--Australia.,Doping in sports--Law and legislation--Australia.,Sports--Law and legislation--Australia.</t>
  </si>
  <si>
    <t>Threatened Species</t>
  </si>
  <si>
    <t>SCIENCE / Microscopes &amp; Microscopy</t>
  </si>
  <si>
    <t>QL84</t>
  </si>
  <si>
    <t>Biodiversity conservation--Australia.,Biodiversity conservation--Law and legislation--Australia.,Endangered species--Australia.,Endangered species--Law and legislation--Australia.,Environmental law--Australia.</t>
  </si>
  <si>
    <t>Physical Activity and Fitness</t>
  </si>
  <si>
    <t>RA553</t>
  </si>
  <si>
    <t>Health behavior--Australia.,Health education--Australia.,Health.,Physical fitness--Health aspects--Australia.,Sedentary behavior--Health aspects--Australia.</t>
  </si>
  <si>
    <t>The Handy Chemistry Answer Book</t>
  </si>
  <si>
    <t>SCIENCE / Chemistry / General</t>
  </si>
  <si>
    <t>QD39.2 .S75 2014eb</t>
  </si>
  <si>
    <t>Chemistry--Examinations, questions, etc.,Chemistry--Miscellanea.</t>
  </si>
  <si>
    <t>Stewart, Ian C.-Lomont, Justin.</t>
  </si>
  <si>
    <t>The Handy Answer Book Series</t>
  </si>
  <si>
    <t>A Classical Tibetan Reader</t>
  </si>
  <si>
    <t>Selections From Renowned Works With Custom Glossaries</t>
  </si>
  <si>
    <t>FOREIGN LANGUAGE STUDY / Southeast Asian Languages</t>
  </si>
  <si>
    <t>PL3613 .B426 2013</t>
  </si>
  <si>
    <t>Tibetan language--Glossaries, vocabularies, etc.,Tibetan language--Readers.,Tibetan language--Textbooks for foreign speakers--English.</t>
  </si>
  <si>
    <t>Bentor, Yael</t>
  </si>
  <si>
    <t>Butterflies</t>
  </si>
  <si>
    <t>Identification and Life History</t>
  </si>
  <si>
    <t>Museum Victoria</t>
  </si>
  <si>
    <t>SCIENCE / Life Sciences / Zoology / General</t>
  </si>
  <si>
    <t>QL558</t>
  </si>
  <si>
    <t>Butterflies--Australia.,Butterflies--Australia--Identification.</t>
  </si>
  <si>
    <t>Field, Ross-Museum Victoria</t>
  </si>
  <si>
    <t>Jewish Views of the Afterlife</t>
  </si>
  <si>
    <t>BM635 .R37 2009</t>
  </si>
  <si>
    <t>Eschatology, Jewish--History of doctrines.,Future life--Judaism--History of doctrines.,Immortality--Judaism--History of doctrines.,Resurrection (Jewish theology)--History of doctrines.</t>
  </si>
  <si>
    <t>Raphael, Simcha Paull.</t>
  </si>
  <si>
    <t>Understanding Media</t>
  </si>
  <si>
    <t>The Extensions of Man</t>
  </si>
  <si>
    <t>P90</t>
  </si>
  <si>
    <t>Mass media.</t>
  </si>
  <si>
    <t>McLuhan, Marshall-Gordon, W. Terrence</t>
  </si>
  <si>
    <t>Liberty</t>
  </si>
  <si>
    <t>God's Gift to Humanity</t>
  </si>
  <si>
    <t>JC574 .C69 2006</t>
  </si>
  <si>
    <t>Liberalism.,Liberty.,Political science--Philosophy.</t>
  </si>
  <si>
    <t>Still Sings the Nightbird</t>
  </si>
  <si>
    <t>PZ7</t>
  </si>
  <si>
    <t>Hope--Fiction.,Mothers--Fiction.</t>
  </si>
  <si>
    <t>Ikonya, Philo</t>
  </si>
  <si>
    <t>Avian Influenza or Bird Flu</t>
  </si>
  <si>
    <t>Astral International Private Limited</t>
  </si>
  <si>
    <t>Daya Publishing House</t>
  </si>
  <si>
    <t>MEDICAL / Veterinary Medicine / Food Animal</t>
  </si>
  <si>
    <t>RA644.I6 N36 2009eb</t>
  </si>
  <si>
    <t>Avian influenza.</t>
  </si>
  <si>
    <t>Nandi, S.</t>
  </si>
  <si>
    <t>Environment &amp; Instrumentation</t>
  </si>
  <si>
    <t>NATURE / Natural Resources</t>
  </si>
  <si>
    <t>TD194.68.I4 E58 2009eb</t>
  </si>
  <si>
    <t>Environmental impact analysis.,Environmental impact analysis--India.,Environmental monitoring--India--Instruments.,Environmental monitoring--Instruments.</t>
  </si>
  <si>
    <t>Prakash, M. M.-Kumar, Arvind</t>
  </si>
  <si>
    <t>Sustainable Rural Technologies</t>
  </si>
  <si>
    <t>BUSINESS &amp; ECONOMICS / Environmental Economics</t>
  </si>
  <si>
    <t>T49.5</t>
  </si>
  <si>
    <t>Appropriate technology.,Appropriate technology--India.,Rural development--Technological innovations.,Rural development--Technological innovations--India.,Sustainable development.,Sustainable development--India.</t>
  </si>
  <si>
    <t>Virdi, M. S.</t>
  </si>
  <si>
    <t>A Hundred Thousand White Stones</t>
  </si>
  <si>
    <t>An Ordinary Tibetan's Extraordinary Journey</t>
  </si>
  <si>
    <t>E184.T53 K86 2013</t>
  </si>
  <si>
    <t>Buddhist nuns--China--Tibet Autonomous Region--Biography.,Intercountry marriage--United States.,Refugees--Biography.,Refugees--Family relationships--China--Tibet Autonomous Region.,Refugees--Family relationships--United States.,Tibetan Americans--Biography.</t>
  </si>
  <si>
    <t>Kunsang Dolma-Denno, Evan.</t>
  </si>
  <si>
    <t>A Tenants Tale</t>
  </si>
  <si>
    <t>A Chronicle of Life In Rural Ireland</t>
  </si>
  <si>
    <t>Dolman Scott Publishing</t>
  </si>
  <si>
    <t>HN400.3.A8</t>
  </si>
  <si>
    <t>Casey, Terance.</t>
  </si>
  <si>
    <t>Almost a Boffin</t>
  </si>
  <si>
    <t>Why He Invented The Cruise Missile</t>
  </si>
  <si>
    <t>UB445.G7</t>
  </si>
  <si>
    <t>Retired military personnel--Great Britain--Biography.</t>
  </si>
  <si>
    <t>Vielle, Eugene Emile</t>
  </si>
  <si>
    <t>Geology and Landscapes of Scotland</t>
  </si>
  <si>
    <t>QE264 .G55 2013eb</t>
  </si>
  <si>
    <t>Geology--Scotland.,Landscapes--Scotland.</t>
  </si>
  <si>
    <t>Gillen, Con.</t>
  </si>
  <si>
    <t>Planetary Geology</t>
  </si>
  <si>
    <t>QB603.G46 V58 2013eb</t>
  </si>
  <si>
    <t>Planets--Geology.</t>
  </si>
  <si>
    <t>Vita-Finzi, Claudio.</t>
  </si>
  <si>
    <t>Living for the Elderly</t>
  </si>
  <si>
    <t>A Design Manual</t>
  </si>
  <si>
    <t>BirkhÃ¤user</t>
  </si>
  <si>
    <t>ARCHITECTURE / Buildings / Public, Commercial &amp; Industrial</t>
  </si>
  <si>
    <t>NA2545.A3</t>
  </si>
  <si>
    <t>Barrier-free design for older people.,Domestic architecture for older people.,Long-term care facilities--Design and construction.,Older people--Housing--Design and construction.</t>
  </si>
  <si>
    <t>Feddersen, Eckhard.-LuÌˆdtke, Insa.</t>
  </si>
  <si>
    <t>Design Manuals</t>
  </si>
  <si>
    <t>Health, Rights and Dignity</t>
  </si>
  <si>
    <t>Philosophical Reflections on an Alleged Human Right</t>
  </si>
  <si>
    <t>PHILOSOPHY / Movements / Utilitarianism</t>
  </si>
  <si>
    <t>K3240 .E75 2011</t>
  </si>
  <si>
    <t>Human rights--Philosophy.,Right to health.</t>
  </si>
  <si>
    <t>Erk, Christian.</t>
  </si>
  <si>
    <t>Tackling Health Anxiety: A CBT Handbook</t>
  </si>
  <si>
    <t>RC552.H8</t>
  </si>
  <si>
    <t>Cognitive therapy.,Hypochondria--Treatment.</t>
  </si>
  <si>
    <t>Tyrer, Helen.</t>
  </si>
  <si>
    <t>Prevention and Management of Violence: Guidance for Mental Healthcare Professionals</t>
  </si>
  <si>
    <t>RC569.5.V55</t>
  </si>
  <si>
    <t>People with mental disabilities--Behavior modification.,Violence.,Violence--Prevention.</t>
  </si>
  <si>
    <t>Beer, M. Dominic.-Khwaja, Masum.</t>
  </si>
  <si>
    <t>Mental Capacity Legislation: Principles and Practice</t>
  </si>
  <si>
    <t>KD737</t>
  </si>
  <si>
    <t>Capacity and disability--England.,Capacity and disability--Wales.,Mental health laws--England.,Mental health laws--Wales.</t>
  </si>
  <si>
    <t>Holland, Tony-Gunn, M. J.-Jacob, Rebecca</t>
  </si>
  <si>
    <t>A Nature Lover's Almanac</t>
  </si>
  <si>
    <t>Kinky Bugs, Stealthy Critters, Prosperous Plants &amp; Celestial Wonders</t>
  </si>
  <si>
    <t>Gibbs M. Smith, Inc.</t>
  </si>
  <si>
    <t>Gibbs Smith</t>
  </si>
  <si>
    <t>QH45.5 .O57 2012eb</t>
  </si>
  <si>
    <t>Almanacs.,Gardening--Miscellanea.,Natural history--Miscellanea.,Nature--Miscellanea.</t>
  </si>
  <si>
    <t>Olson, Diane.</t>
  </si>
  <si>
    <t>Career Counseling Over the Internet</t>
  </si>
  <si>
    <t>An Emerging Model for Trusting and Responding To Online Clients</t>
  </si>
  <si>
    <t>HF5382.7 .B655 2001eb</t>
  </si>
  <si>
    <t>Career development--Computer network resources.,Internet.,Vocational guidance--Computer network resources.</t>
  </si>
  <si>
    <t>Boer, Patricia Mulcahy.</t>
  </si>
  <si>
    <t>An Introduction to Hot Laser Plasma Physics</t>
  </si>
  <si>
    <t>SCIENCE / Energy</t>
  </si>
  <si>
    <t>QC1.A4114</t>
  </si>
  <si>
    <t>Laser plasmas.</t>
  </si>
  <si>
    <t>Andreev, Alexander A.-SolovÊ¹ev, N. A.-Mak, A. A.</t>
  </si>
  <si>
    <t>Horizons in World Physics</t>
  </si>
  <si>
    <t>Learning to Love Yourself</t>
  </si>
  <si>
    <t>Finding Your Self-Worth</t>
  </si>
  <si>
    <t>BF697.5.S46 W43 2012eb</t>
  </si>
  <si>
    <t>Self-esteem.</t>
  </si>
  <si>
    <t>Saving Creation</t>
  </si>
  <si>
    <t>Nature and Faith in the Life of Holmes Rolston III</t>
  </si>
  <si>
    <t>GE56.R64 P74 2009eb</t>
  </si>
  <si>
    <t>Environmental ethics.,Environmentalists--United States--Biography.,Naturalists--United States--Biography.,Nature--Religious aspects.,Philosophers--United States--Biography.,Religion and science.</t>
  </si>
  <si>
    <t>Preston, Christopher J.</t>
  </si>
  <si>
    <t>Seven Poets, Four Days, One Book</t>
  </si>
  <si>
    <t>PN6101 .A14 2009eb</t>
  </si>
  <si>
    <t>Experimental poetry.,Poetry--Collections.</t>
  </si>
  <si>
    <t>Bell, Marvin-Merrill, Christopher.</t>
  </si>
  <si>
    <t>The Ecopoetry Anthology</t>
  </si>
  <si>
    <t>POETRY / Anthologies (multiple authors)</t>
  </si>
  <si>
    <t>PS595.N22 E27 2013eb</t>
  </si>
  <si>
    <t>American poetry.,Ecology in literature.,Nature in literature.</t>
  </si>
  <si>
    <t>Street, Laura-Gray.-Fisher-Wirth, Ann W.-e-libro, Corp.</t>
  </si>
  <si>
    <t>Tibetan Calligraphy</t>
  </si>
  <si>
    <t>How to Write the Alphabet and More</t>
  </si>
  <si>
    <t>ART / Techniques / Calligraphy</t>
  </si>
  <si>
    <t>NK3639.T533 E45 2012eb</t>
  </si>
  <si>
    <t>Calligraphy, Tibetan--Technique.</t>
  </si>
  <si>
    <t>Elliott, Sanje.</t>
  </si>
  <si>
    <t>Awakening the Kind Heart</t>
  </si>
  <si>
    <t>How to Meditate on Compassion</t>
  </si>
  <si>
    <t>BQ5612 .M325 2010eb</t>
  </si>
  <si>
    <t>Buddhism.,Compassion.,Meditation.</t>
  </si>
  <si>
    <t>McDonald, Kathleen.</t>
  </si>
  <si>
    <t>How Much Is Enough?</t>
  </si>
  <si>
    <t>Buddhism, Consumerism, and the Human Environment</t>
  </si>
  <si>
    <t>BQ4570.E23 H69 2010eb</t>
  </si>
  <si>
    <t>Consumption (Economics)--Moral and ethical aspects--Congresses.,Consumption (Economics)--Religious aspects--Buddhism--Congresses.,Environmental ethics--Congresses.,Human ecology--Religious aspects--Buddhism--Congresses.</t>
  </si>
  <si>
    <t>Payne, Richard Karl.</t>
  </si>
  <si>
    <t>Moon by the Window</t>
  </si>
  <si>
    <t>The Calligraphy and Zen Insights of Shodo Harada</t>
  </si>
  <si>
    <t>NK3637.H37 A4 2011eb</t>
  </si>
  <si>
    <t>Zen Buddhism.,Zen calligraphy--Japan.,Zen poetry, Japanese--Translations into English.</t>
  </si>
  <si>
    <t>Harada, Shodo.-Lago, Jane.-Williams, Tim Jundo.-Storandt, Priscilla Daichi.</t>
  </si>
  <si>
    <t>Unlimiting Mind</t>
  </si>
  <si>
    <t>The Radically Experiential Psychology of Buddhism</t>
  </si>
  <si>
    <t>BQ4570.P76 O44 2010eb</t>
  </si>
  <si>
    <t>Buddhism--Psychology.,Psychology.</t>
  </si>
  <si>
    <t>Olendzki, Andrew.</t>
  </si>
  <si>
    <t>Buddhism of the Heart</t>
  </si>
  <si>
    <t>Reflections on Shin Buddhism and Inner Togetherness</t>
  </si>
  <si>
    <t>BQ8736.W56 2009</t>
  </si>
  <si>
    <t>Religious life--Shin (Sect)</t>
  </si>
  <si>
    <t>Wilson, Jeff.-Unno, Taitetsu.</t>
  </si>
  <si>
    <t>Buddha at the Apocalypse</t>
  </si>
  <si>
    <t>Awakening From a Culture of Destruction</t>
  </si>
  <si>
    <t>BQ4570.T5 S64 2010eb</t>
  </si>
  <si>
    <t>Buddhism--Doctrines.,Philosophy, Comparative.,Time--Philosophy.,Time--Religious aspects--Buddhism.</t>
  </si>
  <si>
    <t>Spellmeyer, Kurt.</t>
  </si>
  <si>
    <t>The Heart of the Universe</t>
  </si>
  <si>
    <t>Exploring the Heart Sutra</t>
  </si>
  <si>
    <t>BQ1967.M8 2010</t>
  </si>
  <si>
    <t>Soeng, Mu.</t>
  </si>
  <si>
    <t>The Lotus Sutra</t>
  </si>
  <si>
    <t>A Contemporary Translation of a Buddhist Classic</t>
  </si>
  <si>
    <t>BQ2052.E5 R44 2008eb</t>
  </si>
  <si>
    <t>Mahayana Buddhism.</t>
  </si>
  <si>
    <t>Reeves, Gene.</t>
  </si>
  <si>
    <t>Going on Being</t>
  </si>
  <si>
    <t>Life at the Crossroads of Buddhism and Psychotherapy</t>
  </si>
  <si>
    <t>BQ4570.P76E664 2008</t>
  </si>
  <si>
    <t>Awareness.,Buddhism--Psychology.,Psychotherapy--Religious aspects--Buddhism.,Spiritual life--Psychology.</t>
  </si>
  <si>
    <t>Epstein, Mark.</t>
  </si>
  <si>
    <t>Keep Me in Your Heart a While</t>
  </si>
  <si>
    <t>The Haunting Zen of Dainin Katagiri</t>
  </si>
  <si>
    <t>BQ968.A87695 P67 2008eb</t>
  </si>
  <si>
    <t>Spiritual life--SoÂ¯toÂ¯shuÂ¯.,Spiritual life--Zen Buddhism.</t>
  </si>
  <si>
    <t>Port, Dosho.</t>
  </si>
  <si>
    <t>Focused and Fearless</t>
  </si>
  <si>
    <t>A Meditator's Guide to States of Deep Joy, Calm, and Clarity</t>
  </si>
  <si>
    <t>RELIGION / Buddhism / Theravada</t>
  </si>
  <si>
    <t>BQ5612 .C38 2008eb</t>
  </si>
  <si>
    <t>Catherine, Shaila.</t>
  </si>
  <si>
    <t>Money, Sex, War, Karma</t>
  </si>
  <si>
    <t>Notes for a Buddhist Revolution</t>
  </si>
  <si>
    <t>BQ5395 .L69 2008</t>
  </si>
  <si>
    <t>Buddhism--Social aspects.,Religious life--Buddhism.</t>
  </si>
  <si>
    <t>Loy, David R.</t>
  </si>
  <si>
    <t>The Middle Way</t>
  </si>
  <si>
    <t>Faith Grounded in Reason</t>
  </si>
  <si>
    <t>BQ7462 .B79 2009eb</t>
  </si>
  <si>
    <t>MaÂ¯dhyamika (Buddhism)</t>
  </si>
  <si>
    <t>Bstan-Ê¼dzin-rgya-mtsho-Thupten Jinpa.</t>
  </si>
  <si>
    <t>A Heart Full of Peace</t>
  </si>
  <si>
    <t>RELIGION / Spirituality</t>
  </si>
  <si>
    <t>BQ5675 .G657 2007eb</t>
  </si>
  <si>
    <t>Spiritual life--Buddhism.</t>
  </si>
  <si>
    <t>Goldstein, Joseph</t>
  </si>
  <si>
    <t>Awakening Through Love</t>
  </si>
  <si>
    <t>Unveiling Your Deepest Goodness</t>
  </si>
  <si>
    <t>SELF-HELP / Spiritual</t>
  </si>
  <si>
    <t>BQ4302 .M35 2007eb</t>
  </si>
  <si>
    <t>Buddhism--Doctrines.,Compassion--Religious aspects--Buddhism.,Love--Religious aspects--Buddhism.,Spiritual life--Buddhism.</t>
  </si>
  <si>
    <t>Makransky, John J.-Osgood, Philip.</t>
  </si>
  <si>
    <t>The Awakening Mind</t>
  </si>
  <si>
    <t>The Foundation of Buddhist Thought, Volume 4</t>
  </si>
  <si>
    <t>BQ4398.5 .T37 2007eb</t>
  </si>
  <si>
    <t>Bodhicitta (Buddhism),Bodhisattvas.,Compassion--Religious aspects--Buddhism.,Spiritual life--Mahayana Buddhism.</t>
  </si>
  <si>
    <t>Tashi Tsering-Rinpoche, Lama Zopa.-McDougall, Gordon</t>
  </si>
  <si>
    <t>The Foundation of Buddhist Thought Series</t>
  </si>
  <si>
    <t>Liberation in the Palm of Your Hand</t>
  </si>
  <si>
    <t>A Concise Discourse on the Path to Enlightenment</t>
  </si>
  <si>
    <t>BQ7645.L35</t>
  </si>
  <si>
    <t>Lam-rim.</t>
  </si>
  <si>
    <t>Rinpoche, Trijang.-Richards, Michael.</t>
  </si>
  <si>
    <t>Zen Women</t>
  </si>
  <si>
    <t>Beyond Tea Ladies, Iron Maidens, and Macho Masters</t>
  </si>
  <si>
    <t>BQ5450 .S35 2009</t>
  </si>
  <si>
    <t>Buddhist women.,Women in Buddhism.,Zen Buddhists.</t>
  </si>
  <si>
    <t>Schireson, Grace.</t>
  </si>
  <si>
    <t>Pointing Out the Great Way</t>
  </si>
  <si>
    <t>The Stages of Meditation in the Mahamudra Tradition</t>
  </si>
  <si>
    <t>BQ7699.M34 B76 2006eb</t>
  </si>
  <si>
    <t>Buddhism--China--Tibet Autonomous Region.,MahaÂ¯mudraÂ¯ (Tantric rite),Meditation--Tantric Buddhism.</t>
  </si>
  <si>
    <t>Brown, Daniel P.</t>
  </si>
  <si>
    <t>Mahamudra</t>
  </si>
  <si>
    <t>The Moonlight -- Quintessence of Mind and Meditation</t>
  </si>
  <si>
    <t>BQ8921.M35 B5513 2006eb</t>
  </si>
  <si>
    <t>MahaÂ¯mudraÂ¯ (Tantric rite),Spiritual life--Bka'-brgyud-pa (Sect),Spiritual life--Tantric Buddhism.</t>
  </si>
  <si>
    <t>Bkra-sÌis-rnam-rgyal-Lhalungpa, Lobsang Phuntshok</t>
  </si>
  <si>
    <t>Relative Truth, Ultimate Truth</t>
  </si>
  <si>
    <t>The Foundation of Buddhist Thought, Volume 2</t>
  </si>
  <si>
    <t>BQ4255 .T38 2008</t>
  </si>
  <si>
    <t>Buddhism--Doctrines.,Truth--Religious aspects--Buddhism.</t>
  </si>
  <si>
    <t>Tsering, Geshe Tashi.-Rinpoche, Lama Zopa.</t>
  </si>
  <si>
    <t>The Foundation of Buddhist Thought</t>
  </si>
  <si>
    <t>Get Your Pitchfork On!</t>
  </si>
  <si>
    <t>The Real Dirt on Country Living</t>
  </si>
  <si>
    <t>Process</t>
  </si>
  <si>
    <t>S501.2 .A84 2012eb</t>
  </si>
  <si>
    <t>Agriculture--Handbooks, manuals, etc.,Farm life--Handbooks, manuals, etc.</t>
  </si>
  <si>
    <t>Athens, Kristy.</t>
  </si>
  <si>
    <t>Process Self-reliance Series</t>
  </si>
  <si>
    <t>Getting Out</t>
  </si>
  <si>
    <t>Your Guide to Leaving America (Updated and Expanded Edition)</t>
  </si>
  <si>
    <t>E184.2 .E37 2012eb</t>
  </si>
  <si>
    <t>Americans--Foreign countries.,Emigration and immigration.</t>
  </si>
  <si>
    <t>Ehrman, Mark</t>
  </si>
  <si>
    <t>Friday Night Lights</t>
  </si>
  <si>
    <t>A Town, a Team, and a Dream</t>
  </si>
  <si>
    <t>Da Capo Press</t>
  </si>
  <si>
    <t>SPORTS &amp; RECREATION / Football</t>
  </si>
  <si>
    <t>GV958.P47</t>
  </si>
  <si>
    <t>Football--Social aspects--Texas--Odessa.</t>
  </si>
  <si>
    <t>Bissinger, H. G.</t>
  </si>
  <si>
    <t>Teenagers</t>
  </si>
  <si>
    <t>A Natural History</t>
  </si>
  <si>
    <t>HQ796 .B257 2009eb</t>
  </si>
  <si>
    <t>Adolescence.,Adolescent psychology.,Teenagers.</t>
  </si>
  <si>
    <t>Bainbridge, David.</t>
  </si>
  <si>
    <t>Tree</t>
  </si>
  <si>
    <t>A Life Story</t>
  </si>
  <si>
    <t>NATURE / Plants / Trees</t>
  </si>
  <si>
    <t>QK494.5.P66 S89 2004eb</t>
  </si>
  <si>
    <t>Douglas fir--Development.,Douglas fir--Growth.,Douglas fir--Life cycles.</t>
  </si>
  <si>
    <t>Suzuki, David T.-Grady, Wayne.-David Suzuki Foundation.-Bateman, Robert</t>
  </si>
  <si>
    <t>Who Killed Mom?</t>
  </si>
  <si>
    <t>A Delinquent Son's Meditation on Family, Mortality, and Very Tacky Candles</t>
  </si>
  <si>
    <t>PN4913 .B87 2011eb</t>
  </si>
  <si>
    <t>Broadcasters--Canada--Biography.,Journalists--Canada--Biography.</t>
  </si>
  <si>
    <t>Burgess, M. S.</t>
  </si>
  <si>
    <t>Body of a Dancer</t>
  </si>
  <si>
    <t>PERFORMING ARTS / Dance / Modern</t>
  </si>
  <si>
    <t>GV1785.D266 A3 2011eb</t>
  </si>
  <si>
    <t>Dance--Physiological aspects.,Women dancers--United States--Biography.</t>
  </si>
  <si>
    <t>D'Aoust, ReneÌe E.</t>
  </si>
  <si>
    <t>The ECT Handbook</t>
  </si>
  <si>
    <t>RC485</t>
  </si>
  <si>
    <t>Electroconvulsive therapy.</t>
  </si>
  <si>
    <t>Easton, Andrew-Waite, Jonathan</t>
  </si>
  <si>
    <t>The Pope's Bookbinder</t>
  </si>
  <si>
    <t>Z483.M43 A3 2013</t>
  </si>
  <si>
    <t>Antiquarian booksellers--Canada--Biography.,Beats (Persons)</t>
  </si>
  <si>
    <t>Mason, David</t>
  </si>
  <si>
    <t>Lucky Bruce</t>
  </si>
  <si>
    <t>A Literary Memoir</t>
  </si>
  <si>
    <t>PS3556.R5 Z46 2011eb</t>
  </si>
  <si>
    <t>Friedman, Bruce Jay</t>
  </si>
  <si>
    <t>Three Balconies</t>
  </si>
  <si>
    <t>Stories and a Novella</t>
  </si>
  <si>
    <t>PS3556.R5 T47 2008eb</t>
  </si>
  <si>
    <t>Short stories, American.</t>
  </si>
  <si>
    <t>A Report on the Afterlife of Culture</t>
  </si>
  <si>
    <t>LITERARY CRITICISM / Books &amp; Reading</t>
  </si>
  <si>
    <t>PR9199.3.H4515 R46 2008eb</t>
  </si>
  <si>
    <t>Culture.,Globalization--Social aspects.,Literature--History and criticism.</t>
  </si>
  <si>
    <t>Henighan, Stephen</t>
  </si>
  <si>
    <t>Aereality</t>
  </si>
  <si>
    <t>On the World From Above</t>
  </si>
  <si>
    <t>Counterpoint</t>
  </si>
  <si>
    <t>TR810 .F688 2009eb</t>
  </si>
  <si>
    <t>Aerial photography.</t>
  </si>
  <si>
    <t>Fox, William L.</t>
  </si>
  <si>
    <t>The Religious Art of Zen Master Hakuin</t>
  </si>
  <si>
    <t>RELIGION / Eastern</t>
  </si>
  <si>
    <t>BQ9399.E597 Y67 2009eb</t>
  </si>
  <si>
    <t>Zen painting--Japan.</t>
  </si>
  <si>
    <t>Yoshizawa, Katsuhiro.-Waddell, Norman.</t>
  </si>
  <si>
    <t>The Old Tea Seller</t>
  </si>
  <si>
    <t>Life and Zen Poetry in 18th Century Kyoto</t>
  </si>
  <si>
    <t>PL795.B37 A6 2008eb</t>
  </si>
  <si>
    <t>Japanese tea masters--Biography.</t>
  </si>
  <si>
    <t>Baisa-oÌ„-Waddell, Norman.</t>
  </si>
  <si>
    <t>A Step From Death</t>
  </si>
  <si>
    <t>PS3573.O4 Z46 2008</t>
  </si>
  <si>
    <t>Woiwode, Larry.</t>
  </si>
  <si>
    <t>Dead Silence</t>
  </si>
  <si>
    <t>Fear and Terror on the Anthrax Trail</t>
  </si>
  <si>
    <t>RA644.A6 C64 2009eb</t>
  </si>
  <si>
    <t>Anthrax.,Biological warfare--History.,Bioterrorism.</t>
  </si>
  <si>
    <t>Coen, Bob.-Nadler, Eric David</t>
  </si>
  <si>
    <t>Trash Fish</t>
  </si>
  <si>
    <t>PS3561.E339Z46 2008</t>
  </si>
  <si>
    <t>Authors, American--Biography.</t>
  </si>
  <si>
    <t>Keeler, Greg.</t>
  </si>
  <si>
    <t>Imagination in Place</t>
  </si>
  <si>
    <t>PS3552.E75 I63 2010eb</t>
  </si>
  <si>
    <t>Berry, Wendell</t>
  </si>
  <si>
    <t>Leavings</t>
  </si>
  <si>
    <t>PS3552.E75 L43 2010eb</t>
  </si>
  <si>
    <t>American poetry.,Poetry.</t>
  </si>
  <si>
    <t>The Devil Gets His Due</t>
  </si>
  <si>
    <t>The Uncollected Essays of Leslie Fiedler</t>
  </si>
  <si>
    <t>PS3556.I34 D48 2008</t>
  </si>
  <si>
    <t>American literature--History and criticism.,English literature--History and criticism.,Literature--Philosophy.,Popular culture--Philosophy.,Popular literature--United States--History and criticism.</t>
  </si>
  <si>
    <t>Fiedler, Leslie.-Pardini, Samuele.</t>
  </si>
  <si>
    <t>The Solitary Vice</t>
  </si>
  <si>
    <t>Against Reading</t>
  </si>
  <si>
    <t>Z1003.B883 2008</t>
  </si>
  <si>
    <t>Books and reading--Psychological aspects.</t>
  </si>
  <si>
    <t>Brottman, Mikita.</t>
  </si>
  <si>
    <t>The Prince of Medicine</t>
  </si>
  <si>
    <t>Galen in the Roman Empire</t>
  </si>
  <si>
    <t>HISTORY / Ancient / Rome</t>
  </si>
  <si>
    <t>R534</t>
  </si>
  <si>
    <t>Physicians--Greece--Biography.,Physicians--Rome--Biography.</t>
  </si>
  <si>
    <t>Mattern, Susan P.</t>
  </si>
  <si>
    <t>The Columbia Anthology of Modern Japanese Literature</t>
  </si>
  <si>
    <t>Columbia University Press</t>
  </si>
  <si>
    <t>LITERARY COLLECTIONS / Asian / Japanese</t>
  </si>
  <si>
    <t>PL782.E1</t>
  </si>
  <si>
    <t>Japanese literature--1868-,Japanese literature--1868---Translations.</t>
  </si>
  <si>
    <t>Rimer, J. Thomas.-Gessel, Van C.</t>
  </si>
  <si>
    <t>Modern Asian Literature</t>
  </si>
  <si>
    <t>Life, Fish and Mangroves</t>
  </si>
  <si>
    <t>Resource Governance in Coastal Cambodia</t>
  </si>
  <si>
    <t>HC442.Z65 M37 2012eb</t>
  </si>
  <si>
    <t>Fishery co-management--Cambodia.,Natural resources--Co-management--Cambodia.,Natural resources--Government policy--Cambodia.</t>
  </si>
  <si>
    <t>Marschke, Melissa</t>
  </si>
  <si>
    <t>Sovereignty and Its Other</t>
  </si>
  <si>
    <t>Toward the Dejustification of Violence</t>
  </si>
  <si>
    <t>JC327 .V36 2013eb</t>
  </si>
  <si>
    <t>Sovereignty.</t>
  </si>
  <si>
    <t>Vardoulakis, Dimitris</t>
  </si>
  <si>
    <t>The Human Eros</t>
  </si>
  <si>
    <t>Eco-ontology and the Aesthetics of Existence</t>
  </si>
  <si>
    <t>PHILOSOPHY / Essays</t>
  </si>
  <si>
    <t>BH39 .A43 2013eb</t>
  </si>
  <si>
    <t>Aesthetics.,Philosophy, American--20th century.</t>
  </si>
  <si>
    <t>Alexander, Thomas M.</t>
  </si>
  <si>
    <t>American Philosophy</t>
  </si>
  <si>
    <t>Motherhood As Metaphor</t>
  </si>
  <si>
    <t>Engendering Interreligious Dialogue</t>
  </si>
  <si>
    <t>BL458 .F59 2013eb</t>
  </si>
  <si>
    <t>Theological anthropology.,Women and religion.,Women--Religious aspects.</t>
  </si>
  <si>
    <t>Fletcher, Jeannine Hill.</t>
  </si>
  <si>
    <t>Bordering Religions</t>
  </si>
  <si>
    <t>Technologies of Life and Death</t>
  </si>
  <si>
    <t>From Cloning to Capital Punishment</t>
  </si>
  <si>
    <t>QH332 .O45 2013eb</t>
  </si>
  <si>
    <t>Bioethics.,Biotechnology--Moral and ethical aspects.</t>
  </si>
  <si>
    <t>Oliver, Kelly</t>
  </si>
  <si>
    <t>The Pleasure in Drawing</t>
  </si>
  <si>
    <t>NC17.F7 L96713 2013eb</t>
  </si>
  <si>
    <t>Drawing--Philosophy.</t>
  </si>
  <si>
    <t>Nancy, Jean-Luc.-Armstrong, Philip</t>
  </si>
  <si>
    <t>Speculative Grace</t>
  </si>
  <si>
    <t>Bruno Latour and Object-Oriented Theology</t>
  </si>
  <si>
    <t>BL51 .M623 2013eb</t>
  </si>
  <si>
    <t>Grace (Theology),Object (Philosophy),Ontology.,Philosophical theology.</t>
  </si>
  <si>
    <t>Miller, Adam</t>
  </si>
  <si>
    <t>Toward an Ecology of Transfiguration</t>
  </si>
  <si>
    <t>Orthodox Christian Perspectives on Environment, Nature, and Creation</t>
  </si>
  <si>
    <t>BX323 .T69 2013eb</t>
  </si>
  <si>
    <t>Creation.,Ecology--Religious aspects--Orthodox Eastern Church.,Human ecology--Religious aspects--Orthodox Eastern Church.,Nature--Religious aspects--Orthodox Eastern Church.</t>
  </si>
  <si>
    <t>Foltz, Bruce V.-Chryssavgis, John.</t>
  </si>
  <si>
    <t>Orthodox Christianity and Contemporary Thought</t>
  </si>
  <si>
    <t>Veiled Desires</t>
  </si>
  <si>
    <t>Intimate Portrayals of Nuns in Postwar Anglo-American Film</t>
  </si>
  <si>
    <t>PN1995.9.N95 S23 2013eb</t>
  </si>
  <si>
    <t>Motion pictures--Great Britain--History.,Motion pictures--United States--History.,Nuns in motion pictures.</t>
  </si>
  <si>
    <t>Sabine, Maureen.</t>
  </si>
  <si>
    <t>American Architecture and Urbanism</t>
  </si>
  <si>
    <t>ARCHITECTURE / History / General</t>
  </si>
  <si>
    <t>NA705 .S36 1988</t>
  </si>
  <si>
    <t>Architecture--United States.,City planning--United States.</t>
  </si>
  <si>
    <t>Scully, Vincent-Ebooks Corporation.</t>
  </si>
  <si>
    <t>Water, Immigration, and Politics in the Southwest</t>
  </si>
  <si>
    <t>GF504.S685 M55 2013</t>
  </si>
  <si>
    <t>Human ecology--Southwestern States.,Natural areas--Southwestern States.,Natural history--Southwestern States.,Nature--Effect of human beings on--Southwestern States.</t>
  </si>
  <si>
    <t>Miller, Char.</t>
  </si>
  <si>
    <t>Joe Moakley's Journey</t>
  </si>
  <si>
    <t>From South Boston to El Salvador</t>
  </si>
  <si>
    <t>E840.8.M63 S36 2013eb</t>
  </si>
  <si>
    <t>Legislators--Massachusetts--Biography.,Legislators--United States--Biography.</t>
  </si>
  <si>
    <t>Schneider, Mark R.</t>
  </si>
  <si>
    <t>Feathers</t>
  </si>
  <si>
    <t>PJ5054.B374 N613 2004eb</t>
  </si>
  <si>
    <t>Jewish religious fiction.,Jews--Jerusalem--Fiction.</t>
  </si>
  <si>
    <t>BeÊ¼er, Haim.-Halkin, Hillel</t>
  </si>
  <si>
    <t>The Tauber Institute for the Study of European Jewry Series</t>
  </si>
  <si>
    <t>Divyavadana, Part 1</t>
  </si>
  <si>
    <t>BQ1562.E5 R68 2008eb</t>
  </si>
  <si>
    <t>Buddhist literature, Sanskrit--Translations into English.</t>
  </si>
  <si>
    <t>Classics of Indian Buddhism</t>
  </si>
  <si>
    <t>Reason's Traces</t>
  </si>
  <si>
    <t>Identity and Interpretation in Indian and Tibetan Buddhist Thought</t>
  </si>
  <si>
    <t>B162 .K37 2001eb</t>
  </si>
  <si>
    <t>Buddhist philosophy.,Philosophy, Indic.,Philosophy, Tibetan.,Self (Philosophy)--China--Tibet Autonomous Region--History.,Self (Philosophy)--India--History.</t>
  </si>
  <si>
    <t>Kapstein, Matthew.</t>
  </si>
  <si>
    <t>Studies in Indian and Tibetan Buddhism</t>
  </si>
  <si>
    <t>Psychology and Crime</t>
  </si>
  <si>
    <t>HV6080 .P87 2002eb</t>
  </si>
  <si>
    <t>Crime--Psychological aspects.,Criminal justice, Administration of--Psychological aspects.,Criminal psychology.,Criminology.</t>
  </si>
  <si>
    <t>Putwain, David.-Sammons, Aidan.</t>
  </si>
  <si>
    <t>Routledge Modular Psychology</t>
  </si>
  <si>
    <t>Voluntary Euthanasia Debate</t>
  </si>
  <si>
    <t>R726</t>
  </si>
  <si>
    <t>Euthanasia--Law and legislation--Australia.,Euthanasia--Moral and ethical aspects--Australia.,Euthanasia--Public opinion.,Palliative treatment.</t>
  </si>
  <si>
    <t>Healey, Justin.</t>
  </si>
  <si>
    <t>Issues in Society (Balmain, N.S.W.)</t>
  </si>
  <si>
    <t>The Regulation of DNA Replication and Transcription</t>
  </si>
  <si>
    <t>Demos Medical</t>
  </si>
  <si>
    <t>QP624.5.R48 .B44 2013</t>
  </si>
  <si>
    <t>DNA replication.,DNA replication--Regulation.,Genetic transcription--Regulation.</t>
  </si>
  <si>
    <t>Beljanski, Mirko.</t>
  </si>
  <si>
    <t>Pediatric Environmental Health</t>
  </si>
  <si>
    <t>RJ383 .H36 2012eb</t>
  </si>
  <si>
    <t>Children and the environment--Handbooks, manuals, etc.,Children--Diseases--Environmental aspects--Handbooks, manuals, etc.,Environmentally induced diseases in children--Handbooks, manuals, etc.,Pediatric toxicology--Handbooks, manuals, etc.</t>
  </si>
  <si>
    <t>Balk, Sophie J.-Etzel, Ruth Ann.-American Academy of Pediatrics.</t>
  </si>
  <si>
    <t>Medical Evaluation of Child Sexual Abuse</t>
  </si>
  <si>
    <t>A Practical Guide</t>
  </si>
  <si>
    <t>RJ507.S49</t>
  </si>
  <si>
    <t>Child sexual abuse--Diagnosis.,Sexually abused children--Mental health.</t>
  </si>
  <si>
    <t>Finkel, Martin A.-American Academy of Pediatrics.-Giardino, Angelo P.</t>
  </si>
  <si>
    <t>Caring for Our Children</t>
  </si>
  <si>
    <t>National Health and Safety Performance Standards: Guidelines for Early Care and Early Education Programs</t>
  </si>
  <si>
    <t>EDUCATION / Educational Policy &amp; Reform / School Safety</t>
  </si>
  <si>
    <t>HQ778.63</t>
  </si>
  <si>
    <t>Child care services--Standards--United States.,Child care--Standards--United States.,Children--Health and hygiene--Standards--United States.,Day care centers--Standards--United States.</t>
  </si>
  <si>
    <t>American Academy of Pediatrics.-National Resource Center for Health and Safety in Child Care (U.S.)-American Public Health Association.-United States.</t>
  </si>
  <si>
    <t>San Antonio Architecture</t>
  </si>
  <si>
    <t>Traditions and Visions</t>
  </si>
  <si>
    <t>ARCHITECTURE / Regional</t>
  </si>
  <si>
    <t>NA735.S346</t>
  </si>
  <si>
    <t>Architecture--Texas--San Antonio--Guidebooks.</t>
  </si>
  <si>
    <t>Pfeiffer, Maria Watson-Fisher, Lewis F.</t>
  </si>
  <si>
    <t>The Power of Trees</t>
  </si>
  <si>
    <t>QK477 .D24 2012</t>
  </si>
  <si>
    <t>Trees--Ecology.,Trees--Evolution.,Trees--Pictorial works.,Trees--Social aspects.</t>
  </si>
  <si>
    <t>Daily, Gretchen C.-Katz, Charles J.</t>
  </si>
  <si>
    <t>Countdown to Terror</t>
  </si>
  <si>
    <t>The Top-Secret Information That Could Prevent the Next Terrorist Attack on America--and How the CIA Has Ignored It</t>
  </si>
  <si>
    <t>HV6432 .W39 2005eb</t>
  </si>
  <si>
    <t>Intelligence service--United States.,National security--United States.,Nuclear weapons information--Iran.,Terrorism--Iran--Planning.,Terrorism--United States--Prevention.</t>
  </si>
  <si>
    <t>Weldon, Curt.</t>
  </si>
  <si>
    <t>Social Work with Fathers</t>
  </si>
  <si>
    <t>Positive Practice</t>
  </si>
  <si>
    <t>HQ756 .C53 2013eb</t>
  </si>
  <si>
    <t>Fathers.,Social service.</t>
  </si>
  <si>
    <t>Clapton, Gary.</t>
  </si>
  <si>
    <t>Introducing Meteorology</t>
  </si>
  <si>
    <t>A Guide to Weather</t>
  </si>
  <si>
    <t>SCIENCE / Earth Sciences / Meteorology &amp; Climatology</t>
  </si>
  <si>
    <t>QC863.4 .S56 2013eb</t>
  </si>
  <si>
    <t>Meteorology.</t>
  </si>
  <si>
    <t>Shonk, Jon</t>
  </si>
  <si>
    <t>Sub Divo</t>
  </si>
  <si>
    <t>PR9199.3.S5173 S83 2012eb</t>
  </si>
  <si>
    <t>Canadian poetry.,Poetry.</t>
  </si>
  <si>
    <t>Sibum, Norm</t>
  </si>
  <si>
    <t>NONE</t>
  </si>
  <si>
    <t>Self-Portrait Without a Bicycle</t>
  </si>
  <si>
    <t>PR9199.4.H525 S44 2012eb</t>
  </si>
  <si>
    <t>Autobiographical poetry.,Canadian poetry.</t>
  </si>
  <si>
    <t>Hiemstra van der Horst, Jessica</t>
  </si>
  <si>
    <t>The Properties of Things</t>
  </si>
  <si>
    <t>From: The Poems of Batholomew the Englishman</t>
  </si>
  <si>
    <t>PR9199.3.S569</t>
  </si>
  <si>
    <t>Latin poetry, Medieval and modern.</t>
  </si>
  <si>
    <t>Solway, David.</t>
  </si>
  <si>
    <t>Straight Razor and Other Poems</t>
  </si>
  <si>
    <t>PR9199.3.A364 S77 2004</t>
  </si>
  <si>
    <t>Ala, Salvatore.</t>
  </si>
  <si>
    <t>Character Development and Storytelling for Games</t>
  </si>
  <si>
    <t>Course Technology PTR</t>
  </si>
  <si>
    <t>GV1469.34.A97</t>
  </si>
  <si>
    <t>Video game characters.,Video games--Authorship.</t>
  </si>
  <si>
    <t>Sheldon, Lee.</t>
  </si>
  <si>
    <t>Animal</t>
  </si>
  <si>
    <t>The Bloody Rise and Fall of the Mobâ€™s Most Feared Assassin</t>
  </si>
  <si>
    <t>HV6248 .B293 S54 2013</t>
  </si>
  <si>
    <t>Assassins--United States--Biography.,Organized crime--United States--History.</t>
  </si>
  <si>
    <t>Sherman, Casey.</t>
  </si>
  <si>
    <t>The Mathematics of Language</t>
  </si>
  <si>
    <t>P138 .K73 2003eb</t>
  </si>
  <si>
    <t>Mathematical linguistics.</t>
  </si>
  <si>
    <t>Kracht, Marcus.</t>
  </si>
  <si>
    <t>Studies in Generative Grammar</t>
  </si>
  <si>
    <t>Resetting the Stage</t>
  </si>
  <si>
    <t>Public Theatre Between the Market and Democracy</t>
  </si>
  <si>
    <t>Intellect</t>
  </si>
  <si>
    <t>TECHNOLOGY &amp; ENGINEERING / Power Resources / General</t>
  </si>
  <si>
    <t>PN1643 .K53 2012</t>
  </si>
  <si>
    <t>Theater and society.,Theater--Economic aspects--England.,Theater--Economic aspects--Europe.</t>
  </si>
  <si>
    <t>KlaicÌ, Dragan.</t>
  </si>
  <si>
    <t>Portrait of the Psychiatrist As a Young Man</t>
  </si>
  <si>
    <t>The Early Writing and Work of R.D. Laing, 1927-1960.</t>
  </si>
  <si>
    <t>RC438.6.L34 B48 2011eb</t>
  </si>
  <si>
    <t>Psychiatrists--Scotland--Biography.,Psychiatry.</t>
  </si>
  <si>
    <t>Beveridge, Allan.</t>
  </si>
  <si>
    <t>International Perspectives in Philosophy and Psychiatry</t>
  </si>
  <si>
    <t>Race, Identity, and Representation in Education</t>
  </si>
  <si>
    <t>LC191.4 .R33 2005eb</t>
  </si>
  <si>
    <t>Curriculum change--United States.,Discrimination in education--United States.,Educational equalization--United States.,Education--Social aspects--United States.,Minorities--Education--United States.,Multicultural education--United States.,Race awareness--United States.</t>
  </si>
  <si>
    <t>McCarthy, Cameron.</t>
  </si>
  <si>
    <t>Critical Social Thought</t>
  </si>
  <si>
    <t>Engaged Buddhism in the West</t>
  </si>
  <si>
    <t>BQ724 .E64 2000eb</t>
  </si>
  <si>
    <t>Buddhism--Social aspects--Europe--History.,Buddhism--Social aspects--North America--History.,Buddhism--Social aspects--United States--History.,Religion and politics.,Religious life--Buddhism.</t>
  </si>
  <si>
    <t>Queen, Christopher S.</t>
  </si>
  <si>
    <t>Buddhist Care for the Dying and Bereaved</t>
  </si>
  <si>
    <t>RELIGION / Counseling</t>
  </si>
  <si>
    <t>R726.8 .B83 2012</t>
  </si>
  <si>
    <t>Bereavement--Religious aspects--Buddhism.,Terminal care--Religious aspects--Buddhism.</t>
  </si>
  <si>
    <t>Tomatsu, Yoshiharu.-Watts, Jonathan S.</t>
  </si>
  <si>
    <t>Apricot Jam</t>
  </si>
  <si>
    <t>And Other Stories</t>
  </si>
  <si>
    <t>Open Road Integrated Media, Inc.</t>
  </si>
  <si>
    <t>PG3488.O4 A613 2011eb</t>
  </si>
  <si>
    <t>Solzhenitï¸ sï¸¡yn, Aleksandr Isaevich-Solzhenitsyn, Stephan.-Lantz, K. A.</t>
  </si>
  <si>
    <t>Râ€™s Boat</t>
  </si>
  <si>
    <t>University of California Press</t>
  </si>
  <si>
    <t>PR9199.3.R5316</t>
  </si>
  <si>
    <t>Robertson, Lisa.</t>
  </si>
  <si>
    <t>New California Poetry</t>
  </si>
  <si>
    <t>Diplomatic Handbook</t>
  </si>
  <si>
    <t>LAW / International</t>
  </si>
  <si>
    <t>JZ1405 .F45 2004eb</t>
  </si>
  <si>
    <t>Diplomacy.,Diplomatic and consular service.</t>
  </si>
  <si>
    <t>Feltham, R. G.</t>
  </si>
  <si>
    <t>A Review Guide for O'Hara's Fundamentals of Criminal Investigation</t>
  </si>
  <si>
    <t>Charles C Thomas Publisher</t>
  </si>
  <si>
    <t>Charles C Thomas</t>
  </si>
  <si>
    <t>HV8073.O39 2013</t>
  </si>
  <si>
    <t>Criminal investigation.</t>
  </si>
  <si>
    <t>Woods, DeVere.</t>
  </si>
  <si>
    <t>O'Hara's Fundamentals of Criminal Investigation</t>
  </si>
  <si>
    <t>LAW / Forensic Science</t>
  </si>
  <si>
    <t>HV8073 .W384 2013</t>
  </si>
  <si>
    <t>Woods, Devere D.-O'Hara, Charles E.</t>
  </si>
  <si>
    <t>Airport Analysis, Planning, and Design</t>
  </si>
  <si>
    <t>Demand, Capacity, and Congestion</t>
  </si>
  <si>
    <t>TECHNOLOGY &amp; ENGINEERING / Aeronautics &amp; Astronautics</t>
  </si>
  <si>
    <t>TL725.3.P5 J36 2009</t>
  </si>
  <si>
    <t>Airports--Design and construction.,Airports--Planning.</t>
  </si>
  <si>
    <t>JanicÌ, Milan.</t>
  </si>
  <si>
    <t>Transportation Infrastructure: Roads, Highways, Bridges, Airports and Mass Transit Series</t>
  </si>
  <si>
    <t>Magnetic Properties of Solids</t>
  </si>
  <si>
    <t>SCIENCE / Physics / Condensed Matter</t>
  </si>
  <si>
    <t>QC176.8.M3 M35 2009</t>
  </si>
  <si>
    <t>Solids--Magnetic properties.</t>
  </si>
  <si>
    <t>Tamayo, Kenneth B.</t>
  </si>
  <si>
    <t>Materials Science and Technologies Series</t>
  </si>
  <si>
    <t>Pioneering Human Myoblast Genome Therapy</t>
  </si>
  <si>
    <t>QH445.2 .P56 2009eb</t>
  </si>
  <si>
    <t>Gene mapping.,Human gene mapping.</t>
  </si>
  <si>
    <t>Law, Peter K.</t>
  </si>
  <si>
    <t>Novinka</t>
  </si>
  <si>
    <t>Physics and Technology of High-current Discharges in Dense Gas Media and Flows</t>
  </si>
  <si>
    <t>QC718.5.L6 S73 2009eb</t>
  </si>
  <si>
    <t>Gas flow.,Low temperature plasmas.,Plasma generators.,Pulsed power systems.</t>
  </si>
  <si>
    <t>Rutberg, Philip.</t>
  </si>
  <si>
    <t>Obesity and Adolescence</t>
  </si>
  <si>
    <t>A Public Health Concern</t>
  </si>
  <si>
    <t>MEDICAL / Endocrinology &amp; Metabolism</t>
  </si>
  <si>
    <t>RJ399.C6 O325 2009eb</t>
  </si>
  <si>
    <t>Obesity in adolescence.</t>
  </si>
  <si>
    <t>Omar, Hatim A.</t>
  </si>
  <si>
    <t>Health and Human Development Series</t>
  </si>
  <si>
    <t>Nuclear Chemistry</t>
  </si>
  <si>
    <t>New Research</t>
  </si>
  <si>
    <t>SCIENCE / Chemistry / Physical &amp; Theoretical</t>
  </si>
  <si>
    <t>QD601.3 .N83 2009eb</t>
  </si>
  <si>
    <t>Nuclear chemistry.</t>
  </si>
  <si>
    <t>Koskinen, Axel N.</t>
  </si>
  <si>
    <t>Nonlinear Physical Fields and Anomalous Phenomena</t>
  </si>
  <si>
    <t>SCIENCE / Physics / Nuclear</t>
  </si>
  <si>
    <t>QC20.7.N6 R33 2009</t>
  </si>
  <si>
    <t>Nonlinear theories.,Physics.</t>
  </si>
  <si>
    <t>Rabinowitch, Alexander S.</t>
  </si>
  <si>
    <t>Mechanical Vibrations of Discontinuous Systems</t>
  </si>
  <si>
    <t>TA355 .J374 2009</t>
  </si>
  <si>
    <t>Mechanics, Applied.,Nonlinear theories.,Vibration.</t>
  </si>
  <si>
    <t>JaÌuregui-Correa, Juan Carlos.-GonzaÌlez Brambila, Oscar Manuel.</t>
  </si>
  <si>
    <t>Mechanical Engineering Theory and Applications Series</t>
  </si>
  <si>
    <t>Game Theory &amp; Applications</t>
  </si>
  <si>
    <t>MATHEMATICS / Game Theory</t>
  </si>
  <si>
    <t>QA269 .G35 2009eb</t>
  </si>
  <si>
    <t>Game theory.</t>
  </si>
  <si>
    <t>Mazalov, V. V.-Petrosiï¸ aï¸¡n, L. A.</t>
  </si>
  <si>
    <t>Heart Disease in Women</t>
  </si>
  <si>
    <t>HEALTH &amp; FITNESS / Diseases / Heart</t>
  </si>
  <si>
    <t>RC682 .H3836 2009eb</t>
  </si>
  <si>
    <t>Heart diseases in women.</t>
  </si>
  <si>
    <t>Pennelton, Harrison R.-Lardner, Benjamin V.</t>
  </si>
  <si>
    <t>Handbook of Type II Diabetes in the Middle Aged and Elderly</t>
  </si>
  <si>
    <t>MEDICAL / Nursing / Gerontology</t>
  </si>
  <si>
    <t>RC660.75 .H36 2009eb</t>
  </si>
  <si>
    <t>Diabetes in old age--Handbooks, manuals, etc.,Middle-aged persons--Diseases--Handbooks, manuals, etc.,Non-insulin-dependent diabetes--Handbooks, manuals, etc.</t>
  </si>
  <si>
    <t>Lignalli, Alberto T.</t>
  </si>
  <si>
    <t>Endoscopic Sinus Surgery</t>
  </si>
  <si>
    <t>Anatomy, Three-Dimensional Reconstruction, and Surgical Technique</t>
  </si>
  <si>
    <t>RF421 .W67 2013eb</t>
  </si>
  <si>
    <t>Paranasal sinuses--Endoscopic surgery.</t>
  </si>
  <si>
    <t>Wormald, P. J.</t>
  </si>
  <si>
    <t>Principles of Posterior Fossa Surgery</t>
  </si>
  <si>
    <t>RD529</t>
  </si>
  <si>
    <t>Cranial fossa, Posterior--Surgery.,Nervous system--Surgery.</t>
  </si>
  <si>
    <t>Nanda, Anil.</t>
  </si>
  <si>
    <t>Neurosurgery Rounds: Questions and Answers</t>
  </si>
  <si>
    <t>Questions and Answers</t>
  </si>
  <si>
    <t>RD593 .N41928 2011eb</t>
  </si>
  <si>
    <t>Nervous system--Surgery--Examinations, questions, etc.,Nervous system--Surgery--Handbooks, manuals, etc.</t>
  </si>
  <si>
    <t>Shaya, Mark.</t>
  </si>
  <si>
    <t>Practical MR Mammography</t>
  </si>
  <si>
    <t>High-Resolution MRI of the Breast</t>
  </si>
  <si>
    <t>HEALTH &amp; FITNESS / Wome[a-zA-Z]'[a-zA-Z] Health</t>
  </si>
  <si>
    <t>RG493.5.M33 F5513 2012eb</t>
  </si>
  <si>
    <t>Breast--Magnetic resonance imaging.</t>
  </si>
  <si>
    <t>Fischer, Uwe</t>
  </si>
  <si>
    <t>Neuro Imaging</t>
  </si>
  <si>
    <t>RC349.R3 N33 2011eb</t>
  </si>
  <si>
    <t>Nervous system--Radiography--Case studies.</t>
  </si>
  <si>
    <t>Bonfante, Eliana.-Riascos, Roy.</t>
  </si>
  <si>
    <t>RadCases</t>
  </si>
  <si>
    <t>Musculoskeletal Radiology</t>
  </si>
  <si>
    <t>MEDICAL / Rheumatology</t>
  </si>
  <si>
    <t>RC925.7 .M878 2010eb</t>
  </si>
  <si>
    <t>Musculoskeletal system--Radiography--Case studies.</t>
  </si>
  <si>
    <t>Garcia, G.</t>
  </si>
  <si>
    <t>Freeing Tammy</t>
  </si>
  <si>
    <t>Women, Drugs, and Incarceration</t>
  </si>
  <si>
    <t>PSYCHOLOGY / Psychopathology / Addiction</t>
  </si>
  <si>
    <t>HV6626.2</t>
  </si>
  <si>
    <t>Abused women--United States--Case studies.,Female offenders--United States--Case studies.,Women--Drug use--United States--Case studies.</t>
  </si>
  <si>
    <t>Raphael, Jody.</t>
  </si>
  <si>
    <t>Between Jew and Arab</t>
  </si>
  <si>
    <t>The Lost Voice of Simon Rawidowicz</t>
  </si>
  <si>
    <t>DS151.R375 M94 2009</t>
  </si>
  <si>
    <t>Arab-Israeli conflict.,Emigration and immigration--Moral and ethical aspects.,Zionists--Biography.</t>
  </si>
  <si>
    <t>Myers, David N.</t>
  </si>
  <si>
    <t>Cadaverland</t>
  </si>
  <si>
    <t>Inventing a Pathology of Catastrophe for Holocaust Survival [The Limits of Medical Knowledge and Historical Memory in France]</t>
  </si>
  <si>
    <t>RC451.4.P7 D67 2009</t>
  </si>
  <si>
    <t>Holocaust survivors--Mental health--France.,Holocaust, Jewish (1939-1945)--Influence.,Holocaust, Jewish (1939-1945)--Psychological aspects.,Imprisonment--Psychological aspects.,Medicine--Philosophy.,Pathology--Philosophy.,Post-traumatic stress disorder--Treatment--France.,Prisoners of war--Mental health--France.,Prisoners of war--Rehabilitation--France.,Psychiatry--Philosophy.</t>
  </si>
  <si>
    <t>Dorland, Michael.</t>
  </si>
  <si>
    <t>Journeys to War and Peace</t>
  </si>
  <si>
    <t>A Congressional Memoir</t>
  </si>
  <si>
    <t>E840.8.S577 A3 2011eb</t>
  </si>
  <si>
    <t>Solarz, Stephen J.-Ornstein, Norman.</t>
  </si>
  <si>
    <t>Citizenship, Faith, and Feminism</t>
  </si>
  <si>
    <t>Jewish and Muslim Women Reclaim Their Rights</t>
  </si>
  <si>
    <t>BM729.W6 F44 2011eb</t>
  </si>
  <si>
    <t>Feminism--Religious aspects--Islam.,Feminism--Religious aspects--Judaism.,Jewish women--Political activity--Israel.,Multiculturalism--United States.,Muslim women--Political activity--Kuwait.,Women's rights--Israel.,Women's rights--Kuwait.</t>
  </si>
  <si>
    <t>Feldman, Jan L.</t>
  </si>
  <si>
    <t>Brandeis Series on Gender, Culture, Religion &amp; Law</t>
  </si>
  <si>
    <t>Ethics at Work</t>
  </si>
  <si>
    <t>Creating Virtue at an American Corporation</t>
  </si>
  <si>
    <t>HF5387.5.U6 T47 2005eb</t>
  </si>
  <si>
    <t>Business ethics--United States.</t>
  </si>
  <si>
    <t>Terris, Daniel</t>
  </si>
  <si>
    <t>Contemporary Jewish Reality in Germany and Its Reflection in Film</t>
  </si>
  <si>
    <t>PN1995.9.J46 C66 2013</t>
  </si>
  <si>
    <t>Jews in motion pictures.,Jews--Germany--Identity.,Motion pictures--Germany.</t>
  </si>
  <si>
    <t>Dorchain, Claudia Simone.-Wonnenberg, Felice Naomi.</t>
  </si>
  <si>
    <t>European-Jewish Studies Contributions</t>
  </si>
  <si>
    <t>Bad Music</t>
  </si>
  <si>
    <t>The Music We Love to Hate</t>
  </si>
  <si>
    <t>ML3800 .B13 2004eb</t>
  </si>
  <si>
    <t>Washburne, Christopher.-Derno, Maiken</t>
  </si>
  <si>
    <t>Introducing Oceanography</t>
  </si>
  <si>
    <t>NATURE / Ecosystems &amp; Habitats / Oceans &amp; Seas</t>
  </si>
  <si>
    <t>GC11.2 .I58 2012</t>
  </si>
  <si>
    <t>Oceanography.</t>
  </si>
  <si>
    <t>Thomas, David.-Bowers, David.</t>
  </si>
  <si>
    <t>Preventing Child Deaths</t>
  </si>
  <si>
    <t>Learning From Review</t>
  </si>
  <si>
    <t>FAMILY &amp; RELATIONSHIPS / Abuse / Child Abuse</t>
  </si>
  <si>
    <t>HV715 .V56 2013</t>
  </si>
  <si>
    <t>Child abuse--Prevention.,Child welfare.,Children--Crimes against--Prevention.,Children--Death.</t>
  </si>
  <si>
    <t>Vincent, Sharon.</t>
  </si>
  <si>
    <t>Shamanic Gardening</t>
  </si>
  <si>
    <t>Timeless Techniques for the Modern Sustainable Garden</t>
  </si>
  <si>
    <t>GARDENING / Techniques</t>
  </si>
  <si>
    <t>QK99.A1 .M384 2013</t>
  </si>
  <si>
    <t>Gardens--Design.,Organic gardening.,Sustainable horticulture.,Sustainable living.</t>
  </si>
  <si>
    <t>Miller, Melinda Joy.</t>
  </si>
  <si>
    <t>Hi Mom, Send Sheep!</t>
  </si>
  <si>
    <t>My Life As the Coyote and After</t>
  </si>
  <si>
    <t>SPORTS &amp; RECREATION / Basketball</t>
  </si>
  <si>
    <t>GV714.5 .D46 2006eb</t>
  </si>
  <si>
    <t>Cerebrovascular disease--United States--Biography.,Sports team mascots--United States--Biography.</t>
  </si>
  <si>
    <t>Derk, Tim</t>
  </si>
  <si>
    <t>100 Tricks Every Boy Can Do</t>
  </si>
  <si>
    <t>PS3569.T23 A3 2012</t>
  </si>
  <si>
    <t>Authors, American--20th century--Biography.,Brothers--Oregon--Biography.</t>
  </si>
  <si>
    <t>Stafford, Kim Robert.</t>
  </si>
  <si>
    <t>Aircraft Carriers at War</t>
  </si>
  <si>
    <t>A Personal Retrospective of Korea, Vietnam, and the Soviet Confrontation</t>
  </si>
  <si>
    <t>Naval Institute Press</t>
  </si>
  <si>
    <t>HISTORY / Military / Naval</t>
  </si>
  <si>
    <t>E746 .H65 2007</t>
  </si>
  <si>
    <t>Admirals--United States--Biography.,Aircraft carriers--United States--History--20th century.,Cold War.,Korean War, 1950-1953--Naval operations, American.,Vietnam War, 1961-1975--Naval operations, American.</t>
  </si>
  <si>
    <t>Holloway, James L.</t>
  </si>
  <si>
    <t>Pacific Gibraltar</t>
  </si>
  <si>
    <t>U.S.-Japanese Rivalry Over the Annexation of Hawai'i, 1885-1898</t>
  </si>
  <si>
    <t>HISTORY / United States / 20th Century</t>
  </si>
  <si>
    <t>DU627.4 .M58 2011eb</t>
  </si>
  <si>
    <t>Morgan, William Michael.</t>
  </si>
  <si>
    <t>ADST-DACOR Diplomats and Diplomacy Series</t>
  </si>
  <si>
    <t>Honorable Survivor</t>
  </si>
  <si>
    <t>Mao's China, McCarthy's America and the Persecution of John S. Service</t>
  </si>
  <si>
    <t>E748.S413 J65 2009eb</t>
  </si>
  <si>
    <t>Anti-communist movements--United States--History--20th century.,Diplomats--United States--Biography.</t>
  </si>
  <si>
    <t>Joiner, Lynne.</t>
  </si>
  <si>
    <t>Red Star Over the Pacific</t>
  </si>
  <si>
    <t>China's Rise and the Challenge to U.S. Maritime Strategy</t>
  </si>
  <si>
    <t>VA633</t>
  </si>
  <si>
    <t>Geopolitics--Asia.,Military art and science.,Naval strategy.,Sea-power--China.,Sea-power--United States.</t>
  </si>
  <si>
    <t>Yoshihara, Toshi.-Holmes, James.</t>
  </si>
  <si>
    <t>Labanotation</t>
  </si>
  <si>
    <t>The System of Analyzing and Recording Movement</t>
  </si>
  <si>
    <t>PERFORMING ARTS / Dance / Choreography &amp; Dance Notation</t>
  </si>
  <si>
    <t>GV1587 .L844 2005eb</t>
  </si>
  <si>
    <t>Labanotation.</t>
  </si>
  <si>
    <t>Guest, Ann Hutchinson.</t>
  </si>
  <si>
    <t>Well-being</t>
  </si>
  <si>
    <t>A Collection of Articles From WorldatWork</t>
  </si>
  <si>
    <t>Worldatwork</t>
  </si>
  <si>
    <t>WorldatWork Press</t>
  </si>
  <si>
    <t>HF5549.5 .W384 2012</t>
  </si>
  <si>
    <t>Health promotion.,Industrial hygiene.,Well-being.</t>
  </si>
  <si>
    <t>WorldatWork (Organization)</t>
  </si>
  <si>
    <t>Nathaniel Hawthorne</t>
  </si>
  <si>
    <t>PS1888 .N34 1997eb</t>
  </si>
  <si>
    <t>Crowley, J. Donald</t>
  </si>
  <si>
    <t>The Critical Heritage Series</t>
  </si>
  <si>
    <t>Wood and Wood Joints</t>
  </si>
  <si>
    <t>Building Traditions of Europe, Japan and China</t>
  </si>
  <si>
    <t>TH2301 .Z94 2012eb</t>
  </si>
  <si>
    <t>Building, Wooden--China.,Building, Wooden--Europe.,Building, Wooden--Japan.,Timber joints.</t>
  </si>
  <si>
    <t>Zwerger, Klaus</t>
  </si>
  <si>
    <t>Sign Languages in Village Communities</t>
  </si>
  <si>
    <t>Anthropological and Linguistic Insights</t>
  </si>
  <si>
    <t>Deaf--Language.,Sign language--Cross-cultural studies.</t>
  </si>
  <si>
    <t>Zeshan, Ulrike.-De Vos, Connie.</t>
  </si>
  <si>
    <t>Sign Language Typology [SLT]</t>
  </si>
  <si>
    <t>Methadone Maintenance Treatment</t>
  </si>
  <si>
    <t>A Community Planning Guide</t>
  </si>
  <si>
    <t>Centre for Addiction &amp; Mental Health</t>
  </si>
  <si>
    <t>Centre for Addiction and Mental Health (CAMH)</t>
  </si>
  <si>
    <t>RC568.M4</t>
  </si>
  <si>
    <t>Community health services--Planning.,Mental health education--Planning.,Methadone maintenance--Planning.</t>
  </si>
  <si>
    <t>Erdelyan, Mark.-Young, Colleen.-Centre for Addiction and Mental Health.</t>
  </si>
  <si>
    <t>Recommendations for Enhancing Pharmacy Services</t>
  </si>
  <si>
    <t>RC568.M4 I82 2009eb</t>
  </si>
  <si>
    <t>Methadone maintenance--Ontario.,Pharmacist and patient--Ontario.,Pharmacy--Ontario.</t>
  </si>
  <si>
    <t>Isaac, Pearl.-Sproule, Beth.-Centre for Addiction and Mental Health.</t>
  </si>
  <si>
    <t>WPA Outcomes Statementâ€”A Decade Later, The</t>
  </si>
  <si>
    <t>PE1405.U6 W723 2012eb</t>
  </si>
  <si>
    <t>English language--Rhetoric--Study and teaching--United States.,Report writing--Study and teaching (Higher)--United States.,Writing centers--Administration.</t>
  </si>
  <si>
    <t>Behm, Nicholas.-Council of Writing Program Administrators (U.S.)</t>
  </si>
  <si>
    <t>Sir Thomas Malory's Morte Darthur</t>
  </si>
  <si>
    <t>A New Modern English Translation Based on the Winchester Manuscript</t>
  </si>
  <si>
    <t>FICTION / Historical / General</t>
  </si>
  <si>
    <t>PR2043 .A74 2009</t>
  </si>
  <si>
    <t>Arthurian romances.</t>
  </si>
  <si>
    <t>Malory, Thomas-Armstrong, Dorsey</t>
  </si>
  <si>
    <t>Renaissance and Medieval Studies</t>
  </si>
  <si>
    <t>Chicago Gardens</t>
  </si>
  <si>
    <t>The Early History</t>
  </si>
  <si>
    <t>SB466.U65 C565 2008eb</t>
  </si>
  <si>
    <t>Gardens--Illinois--Chicago--History.</t>
  </si>
  <si>
    <t>Maloney, Cathy Jean.</t>
  </si>
  <si>
    <t>Dealing Death and Drugs</t>
  </si>
  <si>
    <t>The Big Business of Dope in the U.S. And Mexico</t>
  </si>
  <si>
    <t>Cinco Puntos Press</t>
  </si>
  <si>
    <t>HV5825 .O76 2011eb</t>
  </si>
  <si>
    <t>Drug control--Mexican-American Border Region.,Drug legalization--United States.,Drug traffic--Mexican-American Border Region.,Marijuana industry--Mexico.,Marijuana industry--United States.,Narco-terrorism--Mexico.</t>
  </si>
  <si>
    <t>O'Rourke, Beto.-Byrd, Susannah Mississippi</t>
  </si>
  <si>
    <t>The Cinco Puntos Press Checkpoint Series</t>
  </si>
  <si>
    <t>Clinical Nurse Leader Certification Review</t>
  </si>
  <si>
    <t>RT82.8 .C55 2013eb</t>
  </si>
  <si>
    <t>Nurse practitioners.</t>
  </si>
  <si>
    <t>Gerard, Sally O'Toole.-King, Cynthia R.</t>
  </si>
  <si>
    <t>The Extreme Searcher's Internet Handbook</t>
  </si>
  <si>
    <t>A Guide for the Serious Searcher</t>
  </si>
  <si>
    <t>Information Today Inc.</t>
  </si>
  <si>
    <t>Information Today, Inc.</t>
  </si>
  <si>
    <t>COMPUTERS / Web / Search Engines</t>
  </si>
  <si>
    <t>ZA4226 H63 2012eb</t>
  </si>
  <si>
    <t>Web search engines.</t>
  </si>
  <si>
    <t>Hock, Randolph</t>
  </si>
  <si>
    <t>Feeding and Nutrition in Children with Neurodevelopmental Disability</t>
  </si>
  <si>
    <t>MacKeith Press</t>
  </si>
  <si>
    <t>Mac Keith Press</t>
  </si>
  <si>
    <t>HEALTH &amp; FITNESS / Childre[a-zA-Z]'[a-zA-Z] Health</t>
  </si>
  <si>
    <t>RJ233 .F44 2009eb</t>
  </si>
  <si>
    <t>Developmental disabilities--Nutritional aspects.,Developmentally disabled children--Nutrition.,Developmentally disabled children--Nutrition--Requirements.,Nervous system--Diseases--Nutritional aspects.</t>
  </si>
  <si>
    <t>Sullivan, Peter B.</t>
  </si>
  <si>
    <t>A Handbook of Neurological Investigations in Children</t>
  </si>
  <si>
    <t>RJ488 .S74 2009</t>
  </si>
  <si>
    <t>Pediatric neurology--Diagnosis.</t>
  </si>
  <si>
    <t>King, Mary D.-Stephenson, John B. P.</t>
  </si>
  <si>
    <t>Clinics in Developmental Medicine</t>
  </si>
  <si>
    <t>Diseases of the Nervous System in Childhood</t>
  </si>
  <si>
    <t>RJ486 .A34 2009</t>
  </si>
  <si>
    <t>Children--Diseases.,Pediatric neurology.</t>
  </si>
  <si>
    <t>Gillberg, Christopher-Bax, Martin.-Aicardi, Jean.</t>
  </si>
  <si>
    <t>The Identification and Treatment of Gait Problems in Cerebral Palsy</t>
  </si>
  <si>
    <t>RJ496.C4 T743 2009</t>
  </si>
  <si>
    <t>Cerebral palsy--Complications.,Gait disorders.,Neurology.</t>
  </si>
  <si>
    <t>Koop, Steven E.-Schwartz, Michael H.-Gage, James R.</t>
  </si>
  <si>
    <t>Postural Control</t>
  </si>
  <si>
    <t>A Key Issue in Developmental Disorders</t>
  </si>
  <si>
    <t>RD762 .P67 2008eb</t>
  </si>
  <si>
    <t>Posture disorders in children.,Posture disorders in children--Treatment.</t>
  </si>
  <si>
    <t>Hadders-Algra, Mijna.-Carlberg, Eva Brogen.</t>
  </si>
  <si>
    <t>Improving Hand Function in Cerebral Palsy</t>
  </si>
  <si>
    <t>Theory, Evidence and Intervention</t>
  </si>
  <si>
    <t>RJ496.C4 I47 2008eb</t>
  </si>
  <si>
    <t>Cerebral palsied children.,Hand--Movements.,Motor ability in children.,Movement disorders in children--Treatment.</t>
  </si>
  <si>
    <t>Burtner, Patricia A.-Eliasson, Ann-Christin</t>
  </si>
  <si>
    <t>Angelman Syndrome</t>
  </si>
  <si>
    <t>PSYCHOLOGY / Neuropsychology</t>
  </si>
  <si>
    <t>RJ507.A54 D36 2008eb</t>
  </si>
  <si>
    <t>Angelman syndrome.</t>
  </si>
  <si>
    <t>Dan, Bernard.</t>
  </si>
  <si>
    <t>People with Hyperactivity</t>
  </si>
  <si>
    <t>Understanding and Managing Their Problems</t>
  </si>
  <si>
    <t>PSYCHOLOGY / Psychopathology / Attention-Deficit Disorder (ADD-ADHD)</t>
  </si>
  <si>
    <t>RJ506.H9 P46 2007eb</t>
  </si>
  <si>
    <t>Attention-deficit disorder in adults.,Attention-deficit hyperactivity disorder--Diagnosis.,Attention-deficit hyperactivity disorder--Treatment.,Hyperactive children.</t>
  </si>
  <si>
    <t>Taylor, Eric A.</t>
  </si>
  <si>
    <t>Prechtl's Method on the Qualitative Assessment of General Movements in Preterm, Term and Young Infants</t>
  </si>
  <si>
    <t>RJ134</t>
  </si>
  <si>
    <t>Infants--Diseases--Diagnosis.,Neurologic examination.,Premature infants--Diseases--Diagnosis.</t>
  </si>
  <si>
    <t>Ferrari, Fabrizio.-Prechtl, Heinz F. R.-Einspieler, Christa.-Bos, Arend F.-Cioni, Giovanni.</t>
  </si>
  <si>
    <t>The Human Journey</t>
  </si>
  <si>
    <t>A Concise Introduction to World History</t>
  </si>
  <si>
    <t>D21 .R379 2011eb</t>
  </si>
  <si>
    <t>World history--Textbooks.</t>
  </si>
  <si>
    <t>Reilly, Kevin</t>
  </si>
  <si>
    <t>Changing Ideas in a Changing World</t>
  </si>
  <si>
    <t>The Revolution in Psychoanalysis - Essays in Honour of Arnold Cooper</t>
  </si>
  <si>
    <t>RC509 .C43 2000eb</t>
  </si>
  <si>
    <t>Psychoanalysis.</t>
  </si>
  <si>
    <t>Fonagy, Peter-Cooper, Arnold M.-Sandler, Joseph.-Michels, Robert</t>
  </si>
  <si>
    <t>Odoric of Pordenone</t>
  </si>
  <si>
    <t>Hakluyt Society</t>
  </si>
  <si>
    <t>HISTORY / Asia / China</t>
  </si>
  <si>
    <t>DS710 .O36 2010eb</t>
  </si>
  <si>
    <t>Geography, Medieval.,Missions--East Asia.</t>
  </si>
  <si>
    <t>Cordier, Henri.</t>
  </si>
  <si>
    <t>Cathay and the Way Thither: Being a Collection of Medieval Notices of China</t>
  </si>
  <si>
    <t>The Jamestown Voyages Under the First Charter, 1606-1609</t>
  </si>
  <si>
    <t>Documents Relating to the Foundation of Jamestown and the History of the Jamestown Colony up to the Departure of Captain John Smith, Last President of the Council in Virginia Under the First Charter, Early in October 1609. Volume I</t>
  </si>
  <si>
    <t>HISTORY / United States / State &amp; Local / South (AL, AR, FL, GA, KY, LA, MS, NC, SC, TN, VA, WV)</t>
  </si>
  <si>
    <t>F234.J3 J36 2010eb</t>
  </si>
  <si>
    <t>Barbour, Philip L.-Hakluyt Society.</t>
  </si>
  <si>
    <t>La Austrialia Del EspÃ­ritu Santo</t>
  </si>
  <si>
    <t>The Journal of Fray Martin De Munilla O.F.M. And Other Documents Relating to The Voyage of Pedro FernÃ¡ndez De QuirÃ³s to the South Sea (1605-1606) and the Franciscan Missionary Plan (1617-1627)</t>
  </si>
  <si>
    <t>HISTORY / Modern / 17th Century</t>
  </si>
  <si>
    <t>G161 .H2 2d ser., no. 126 2010eb</t>
  </si>
  <si>
    <t>Parsonson, G. R.-Martin de Munilla-Kelly, Celsus</t>
  </si>
  <si>
    <t>Works Issued by the Hakluyt Society</t>
  </si>
  <si>
    <t>The Travels of Ibn Battuta, A.D. 1325-1354</t>
  </si>
  <si>
    <t>Volume I</t>
  </si>
  <si>
    <t>HISTORY / Ancient / General</t>
  </si>
  <si>
    <t>G370 .I234 2010eb</t>
  </si>
  <si>
    <t>Voyages and travels.,Voyages around the world.</t>
  </si>
  <si>
    <t>Ibn Batuta-Beckingham, C. F.-Gibb, H. A. R.-Hakluyt Society.</t>
  </si>
  <si>
    <t>Hakluyt Society, Second Series</t>
  </si>
  <si>
    <t>Mandeville's Travels</t>
  </si>
  <si>
    <t>Texts and Translations. Volume 1</t>
  </si>
  <si>
    <t>TRAVEL / Essays &amp; Travelogues</t>
  </si>
  <si>
    <t>G370.M2 M36 1953eb</t>
  </si>
  <si>
    <t>Geography, Medieval.,Voyages and travels--Early works to 1800.</t>
  </si>
  <si>
    <t>Letts, Malcolm</t>
  </si>
  <si>
    <t>Europeans in West Africa, 1540-1560</t>
  </si>
  <si>
    <t>Documents to Illustrate the Nature and Scope of Portuguese Enterprise in West Africa, the Abortive Attempt of Castilians to Create an Empire There, and the Early English Voyages to Barbary and Guinea</t>
  </si>
  <si>
    <t>DT36 .B53 2010eb</t>
  </si>
  <si>
    <t>British--Africa, West.,Portuguese--Africa, West.,Spaniards--Africa, West.</t>
  </si>
  <si>
    <t>Blake, John W.</t>
  </si>
  <si>
    <t>The Original Writings &amp; Correspondence of the Two Richard Hakluyts</t>
  </si>
  <si>
    <t>TRAVEL / Museums, Tours, Points of Interest</t>
  </si>
  <si>
    <t>G246.H35 H351 2010eb</t>
  </si>
  <si>
    <t>Voyages and travels.</t>
  </si>
  <si>
    <t>Hakluyt, Richard-Taylor, E. G. R.</t>
  </si>
  <si>
    <t>Hakluyt Society. Works</t>
  </si>
  <si>
    <t>Select Documents Illustrating the Four Voyages of Columbus</t>
  </si>
  <si>
    <t>Including Those Contained in R. H. Major's Select Letters of Christopher Columbus. Volumes I-II</t>
  </si>
  <si>
    <t>E114 .J36 2010eb</t>
  </si>
  <si>
    <t>Columbus, Christopher.-Jane, Lionel Cecil</t>
  </si>
  <si>
    <t>Select Documents Illustrating the Four Voyages of Columbus: Including Those Contained in R.H. Major's Select Letters of Christopher Columbus</t>
  </si>
  <si>
    <t>Travels of Fray Sebastien Manrique 1629-1643</t>
  </si>
  <si>
    <t>A Translation of the Itinerario De Las Missiones Orientales. Volumes I-II</t>
  </si>
  <si>
    <t>BV3149 .M36 2010eb</t>
  </si>
  <si>
    <t>Missions--East Asia.,Voyages and travels--Early works to 1800.</t>
  </si>
  <si>
    <t>Manrique, SebastiaÌƒo-Hosten, H.-Luard, C. Eckford</t>
  </si>
  <si>
    <t>Travels of Fray Sebastien Manrique, 1629-1643: a Translation of the Itinerario De Las Missiones Orientales</t>
  </si>
  <si>
    <t>The Life of the Icelander JoÌn OÌlafsson, Traveller to India</t>
  </si>
  <si>
    <t>Life and Travels</t>
  </si>
  <si>
    <t>G159 .J66 2016eb</t>
  </si>
  <si>
    <t>Voyages and travels--Early works to 1800.</t>
  </si>
  <si>
    <t>JoÌn OÌlafsson-Phillpotts, Bertha S.-SigfuÌs BloÌˆndal</t>
  </si>
  <si>
    <t>The Chronicle of Muntaner</t>
  </si>
  <si>
    <t>HISTORY / Europe / Spain &amp; Portugal</t>
  </si>
  <si>
    <t>DP125 .C47 2010eb</t>
  </si>
  <si>
    <t>Goodenough, Lady.</t>
  </si>
  <si>
    <t>A New Account of East India and Persia</t>
  </si>
  <si>
    <t>Being Nine Years' Travels, 1672-1681</t>
  </si>
  <si>
    <t>TRAVEL / Asia / India &amp; South Asia</t>
  </si>
  <si>
    <t>DS411 .F94 2010eb</t>
  </si>
  <si>
    <t>Fryer, John-Crooke, William</t>
  </si>
  <si>
    <t>The Travels of Peter Mundy, in Europe and Asia, 1608-1667</t>
  </si>
  <si>
    <t>Ashgate Publishing Ltd</t>
  </si>
  <si>
    <t>TRAVEL / Europe / Western</t>
  </si>
  <si>
    <t>G161</t>
  </si>
  <si>
    <t>Mundy, Peter-Temple, Richard Carnac</t>
  </si>
  <si>
    <t>The Voyages of Pedro Fernandez De Quiros, 1595 to 1606</t>
  </si>
  <si>
    <t>Volumes I-II</t>
  </si>
  <si>
    <t>G163 .Q451 2010eb</t>
  </si>
  <si>
    <t>Discoveries in geography.</t>
  </si>
  <si>
    <t>QueiroÌs, Pedro Fernandes de-Markham, Clements R.</t>
  </si>
  <si>
    <t>The Discovery of the Solomon Islands by Alvaro De MendaÌ„na in 1568 Translated From the Original Spanish Manuscripts</t>
  </si>
  <si>
    <t>DU850 .D571 2010eb</t>
  </si>
  <si>
    <t>Thomson, Basil-Amherst, William Amhurst Tyssen-Amherst</t>
  </si>
  <si>
    <t>Blues with a Feeling</t>
  </si>
  <si>
    <t>The Little Walter Story</t>
  </si>
  <si>
    <t>ML419.L58 G56 2002</t>
  </si>
  <si>
    <t>Harmonica players--Biography.</t>
  </si>
  <si>
    <t>Glover, Tony.-Gaines, Ward.-Dirks, Scott.</t>
  </si>
  <si>
    <t>The Ocean of the Soul</t>
  </si>
  <si>
    <t>Men, the World, and God in the Stories of FariÌ„d Al-DiÌ„n Ê»AtÌ£tÌ£aÌ„r</t>
  </si>
  <si>
    <t>PK6451.F4 Z8613 2013</t>
  </si>
  <si>
    <t>Ritter, Hellmut-O'Kane, John-Radtke, Bernd.</t>
  </si>
  <si>
    <t>Handbuch Der Orientalistik</t>
  </si>
  <si>
    <t>Empires in Collision in Late Antiquity</t>
  </si>
  <si>
    <t>DS57 .B69 2012eb</t>
  </si>
  <si>
    <t>Bowersock, G. W.</t>
  </si>
  <si>
    <t>Marijuana Pest and Disease Control</t>
  </si>
  <si>
    <t>How to Protect Your Plants and Win Back Your Garden</t>
  </si>
  <si>
    <t>GARDENING / Reference</t>
  </si>
  <si>
    <t>SB608.C28 R67 2012</t>
  </si>
  <si>
    <t>Cannabis--Diseases and pests--Control.,Marijuana--Diseases and pests--Control.</t>
  </si>
  <si>
    <t>Rosenthal, Ed.-Imbriani, Kathy.</t>
  </si>
  <si>
    <t>Unruly Voices</t>
  </si>
  <si>
    <t>Essays on Democracy, Civility and the Human Imagination</t>
  </si>
  <si>
    <t>JC423 .K55 2012eb</t>
  </si>
  <si>
    <t>Courtesy.,Democracy.,Imagination--Social aspects.,Political culture.</t>
  </si>
  <si>
    <t>Kingwell, Mark</t>
  </si>
  <si>
    <t>Early Childhood Music Therapy and Autism Spectrum Disorders</t>
  </si>
  <si>
    <t>Developing Potential in Young Children and Their Families</t>
  </si>
  <si>
    <t>Jessica Kingsley Publishers</t>
  </si>
  <si>
    <t>PSYCHOLOGY / Psychopathology / Autism Spectrum Disorders</t>
  </si>
  <si>
    <t>ML3920 .E23 2012</t>
  </si>
  <si>
    <t>Autism in children.,Autistic children--Education--Music.,Children with disabilities--Education--Music.,Music therapy for children.,Music therapy--Instruction and study.,Special education--Music.</t>
  </si>
  <si>
    <t>Humpal, Marcia Earl.-Kern, Petra.</t>
  </si>
  <si>
    <t>Historical Dictionary of Postwar Japan</t>
  </si>
  <si>
    <t>HISTORY / Asia / Japan</t>
  </si>
  <si>
    <t>DS889 .H569 2011eb</t>
  </si>
  <si>
    <t>Hoover, William D.</t>
  </si>
  <si>
    <t>Historical Dictionaries of Asia, Oceania, and the Middle East</t>
  </si>
  <si>
    <t>Historical Dictionary of Yemen</t>
  </si>
  <si>
    <t>DS247.Y45 B87 2010eb</t>
  </si>
  <si>
    <t>Burrowes, Robert D.</t>
  </si>
  <si>
    <t>Historical Dictionary of Baroque Art and Architecture</t>
  </si>
  <si>
    <t>ART / History / Baroque &amp; Rococo</t>
  </si>
  <si>
    <t>N6415.B3 Z57 2010eb</t>
  </si>
  <si>
    <t>Architecture, Baroque--Dictionaries.,Art, Baroque--Dictionaries.</t>
  </si>
  <si>
    <t>Zirpolo, Lilian H.</t>
  </si>
  <si>
    <t>Historical Dictionaries of Literature and the Arts</t>
  </si>
  <si>
    <t>Orthographies in Early Modern Europe</t>
  </si>
  <si>
    <t>P211.3.E85 O78 2012eb</t>
  </si>
  <si>
    <t>Writing--Europe--History.,Written communication--Europe--History.</t>
  </si>
  <si>
    <t>Voeste, Anja.-Baddeley, Susan.</t>
  </si>
  <si>
    <t>Emotional Minds</t>
  </si>
  <si>
    <t>The Passions and the Limits of Pure Inquiry in Early Modern Philosophy</t>
  </si>
  <si>
    <t>B815 .E46 2012eb</t>
  </si>
  <si>
    <t>Emotions (Philosophy)--Congresses.,Reasoning--Congresses.</t>
  </si>
  <si>
    <t>mul</t>
  </si>
  <si>
    <t>Ebbersmeyer, Sabrina.</t>
  </si>
  <si>
    <t>Der BundesprÃ¤sident</t>
  </si>
  <si>
    <t>Briefe 1949â€“1954</t>
  </si>
  <si>
    <t>DD259.7.H48</t>
  </si>
  <si>
    <t>Presidents--Germany (West)--Correspondence.</t>
  </si>
  <si>
    <t>ger</t>
  </si>
  <si>
    <t>Heuss, Theodor-Werner, Wolfram.-Vogt, Martin.-Becker, Ernst Wolfgang.</t>
  </si>
  <si>
    <t>Stuttgarter Ausgabe : Briefe</t>
  </si>
  <si>
    <t>H.G. Wells</t>
  </si>
  <si>
    <t>PR5777 .P37 1997eb</t>
  </si>
  <si>
    <t>Parrinder, Patrick.</t>
  </si>
  <si>
    <t>Problems in Structural Inorganic Chemistry</t>
  </si>
  <si>
    <t>SCIENCE / Physics / Crystallography</t>
  </si>
  <si>
    <t>QD154 .P75 2012eb</t>
  </si>
  <si>
    <t>Chemistry, Inorganic--Problems, exercises, etc.,Chemistry, Physical and theoretical--Problems, exercises, etc.</t>
  </si>
  <si>
    <t>Li, Wai-Kee.</t>
  </si>
  <si>
    <t>Radicals</t>
  </si>
  <si>
    <t>Portraits of a Destructive Passion</t>
  </si>
  <si>
    <t>HN49.R33 H67 2012eb</t>
  </si>
  <si>
    <t>Political leadership.,Radicalism.,Radicals.</t>
  </si>
  <si>
    <t>Horowitz, David</t>
  </si>
  <si>
    <t>Why We Fight</t>
  </si>
  <si>
    <t>Moral Clarity and the War on Terrorism</t>
  </si>
  <si>
    <t>HV6432 .B456 2002eb</t>
  </si>
  <si>
    <t>Terrorism--United States.,War on Terrorism, 2001-2009--Moral and ethical aspects.,War--Moral and ethical aspects.</t>
  </si>
  <si>
    <t>Bennett, William J.</t>
  </si>
  <si>
    <t>Fast and Furious</t>
  </si>
  <si>
    <t>Barack Obama's Bloodiest Scandal and the Shameless Cover-Up</t>
  </si>
  <si>
    <t>HV8144.B87 P38 2012eb</t>
  </si>
  <si>
    <t>Drug traffic--Mexico.,Illegal arms transfers--Mexican-American Border Region.,Operation Fast and Furious, 2009-2011.</t>
  </si>
  <si>
    <t>Pavlich, Katie.</t>
  </si>
  <si>
    <t>Red Dragon Rising</t>
  </si>
  <si>
    <t>Communist China's Military Threat to America</t>
  </si>
  <si>
    <t>UA835 .T497 1999eb</t>
  </si>
  <si>
    <t>World politics--1989-</t>
  </si>
  <si>
    <t>Timperlake, Edward.-Triplett, William C.</t>
  </si>
  <si>
    <t>Jesus in Beijing</t>
  </si>
  <si>
    <t>How Christianity Is Transforming China And Changing the Global Balance of Power</t>
  </si>
  <si>
    <t>Salem Books</t>
  </si>
  <si>
    <t>RELIGION / Christian Ministry / Evangelism</t>
  </si>
  <si>
    <t>BR1288 .A35 2003eb</t>
  </si>
  <si>
    <t>Christianity--China.</t>
  </si>
  <si>
    <t>Aikman, David</t>
  </si>
  <si>
    <t>The Venona Secrets</t>
  </si>
  <si>
    <t>Exposing Soviet Espionage and America's Traitors</t>
  </si>
  <si>
    <t>DK266.3 .R66 2000eb</t>
  </si>
  <si>
    <t>Cryptography--United States--History--20th century.,Espionage, Soviet--United States--History.,World War, 1939-1945--Cryptography.</t>
  </si>
  <si>
    <t>Romerstein, Herbert.-Breindel, Eric</t>
  </si>
  <si>
    <t>Literary Washington, D.C.</t>
  </si>
  <si>
    <t>PS548.D6 L63 2012eb</t>
  </si>
  <si>
    <t>American literature--Washington (D.C.)</t>
  </si>
  <si>
    <t>Allen, Patrick</t>
  </si>
  <si>
    <t>Literary Cities</t>
  </si>
  <si>
    <t>JosÃ© MarÃ­a De JesÃºs Carvajal</t>
  </si>
  <si>
    <t>The Life and Times of a Mexican Revolutionary</t>
  </si>
  <si>
    <t>F1232.C32 C43 2006eb</t>
  </si>
  <si>
    <t>Legislators--Mexico--Biography.,Revolutionaries--Mexico--Biography.</t>
  </si>
  <si>
    <t>Chance, Joseph E.</t>
  </si>
  <si>
    <t>Oration on the Dignity of Man</t>
  </si>
  <si>
    <t>Gateway Editions</t>
  </si>
  <si>
    <t>PHILOSOPHY / Movements / Humanism</t>
  </si>
  <si>
    <t>B785.P53 D443 1998eb</t>
  </si>
  <si>
    <t>Human beings.</t>
  </si>
  <si>
    <t>Pico della Mirandola, Giovanni-Caponigri, A. Robert</t>
  </si>
  <si>
    <t>About Love</t>
  </si>
  <si>
    <t>Three Stories by Anton Chekhov</t>
  </si>
  <si>
    <t>PG3456.A15 H44 2012eb</t>
  </si>
  <si>
    <t>Chekhov, Anton Pavlovich-Seth-Helwig, David</t>
  </si>
  <si>
    <t>The Real World of Technology</t>
  </si>
  <si>
    <t>TECHNOLOGY &amp; ENGINEERING / Social Aspects</t>
  </si>
  <si>
    <t>T14.5 .F73 2011</t>
  </si>
  <si>
    <t>Intellectual property--Social aspects.,Scientists.,Technology.,Technology--Social aspects.</t>
  </si>
  <si>
    <t>Franklin, Ursula M.</t>
  </si>
  <si>
    <t>CBC Massey Lecture</t>
  </si>
  <si>
    <t>Technology &amp; Justice</t>
  </si>
  <si>
    <t>BJ59 .G72 1986eb</t>
  </si>
  <si>
    <t>Technology--Moral and ethical aspects.</t>
  </si>
  <si>
    <t>Grant, George Parkin</t>
  </si>
  <si>
    <t>Race Against Time</t>
  </si>
  <si>
    <t>Searching for Hope in AIDS-ravaged Africa</t>
  </si>
  <si>
    <t>HN773.5 .L49 2009eb</t>
  </si>
  <si>
    <t>AIDS (Disease)--Africa.,Education--Africa.,Human rights--Africa.,International relief--Africa--Evaluation.,Poverty--Africa.,Women's rights.</t>
  </si>
  <si>
    <t>Lewis, Stephen</t>
  </si>
  <si>
    <t>Perspectives on Our Age</t>
  </si>
  <si>
    <t>Jacques Ellul Speaks on His Life and Work</t>
  </si>
  <si>
    <t>HISTORY / Europe / France</t>
  </si>
  <si>
    <t>BX4827.E5 A3413 2011</t>
  </si>
  <si>
    <t>Ellul, Jacques--Biography.,Ellul, Jacques--Influence.,Theologians--France--Biography.</t>
  </si>
  <si>
    <t>Ellul, Jacques.-Vanderburg, William.</t>
  </si>
  <si>
    <t>The Rivers North of the Future</t>
  </si>
  <si>
    <t>The Testament of Ivan Illich</t>
  </si>
  <si>
    <t>RELIGION / Christianity / General</t>
  </si>
  <si>
    <t>BR85 .I44 2011</t>
  </si>
  <si>
    <t>Christianity--Controversial literature.,Christianity--Philosophy.</t>
  </si>
  <si>
    <t>Cayley, David.-Taylor, Charles.</t>
  </si>
  <si>
    <t>The Real World of Democracy</t>
  </si>
  <si>
    <t>POLITICAL SCIENCE / Political Ideologies / Democracy</t>
  </si>
  <si>
    <t>JC433</t>
  </si>
  <si>
    <t>Democracy.</t>
  </si>
  <si>
    <t>Macpherson, C. B.</t>
  </si>
  <si>
    <t>The Politics of the Family</t>
  </si>
  <si>
    <t>HQ728 .L335 2011</t>
  </si>
  <si>
    <t>Families.</t>
  </si>
  <si>
    <t>Laing, R. D.</t>
  </si>
  <si>
    <t>CBC Massey Lectures</t>
  </si>
  <si>
    <t>The Bush Garden</t>
  </si>
  <si>
    <t>Essays on the Canadian Imagination</t>
  </si>
  <si>
    <t>PR9184.6 .F79 1995eb</t>
  </si>
  <si>
    <t>Arts, Canadian--20th century.,Canadian literature--20th century--History and criticism.</t>
  </si>
  <si>
    <t>Frye, Northrop.</t>
  </si>
  <si>
    <t>Technology and Empire</t>
  </si>
  <si>
    <t>Perspectives on North America</t>
  </si>
  <si>
    <t>AC8</t>
  </si>
  <si>
    <t>International relations--Moral and ethical aspects--United States.,Technology and civilization.,Technology--Social aspects.</t>
  </si>
  <si>
    <t>Grant, George.</t>
  </si>
  <si>
    <t>Ivan Illich in Conversation</t>
  </si>
  <si>
    <t>LB885.I442 I47 2011</t>
  </si>
  <si>
    <t>Education--Philosophy.,Medicine--Philosophy.,Social problems.</t>
  </si>
  <si>
    <t>Cayley, David.</t>
  </si>
  <si>
    <t>In Conversation</t>
  </si>
  <si>
    <t>Compassion and Solidarity</t>
  </si>
  <si>
    <t>The Church for Others</t>
  </si>
  <si>
    <t>RELIGION / Christian Living / Social Issues</t>
  </si>
  <si>
    <t>BT83.57 .B37 2010eb</t>
  </si>
  <si>
    <t>Church and social problems.,Liberation theology.,Solidarity--Religious aspects--Christianity.</t>
  </si>
  <si>
    <t>Baum, Gregory</t>
  </si>
  <si>
    <t>Beyond Fate</t>
  </si>
  <si>
    <t>BJ1461 .V62 2010eb</t>
  </si>
  <si>
    <t>Fate and fatalism.</t>
  </si>
  <si>
    <t>Visser, Margaret.</t>
  </si>
  <si>
    <t>The Massey Lectures Series</t>
  </si>
  <si>
    <t>The Meagre Tarmac</t>
  </si>
  <si>
    <t>PR9199.3.B48 M42 2011eb</t>
  </si>
  <si>
    <t>Short stories.</t>
  </si>
  <si>
    <t>Blaise, Clark.</t>
  </si>
  <si>
    <t>Attack of the Copula Spiders</t>
  </si>
  <si>
    <t>Essays on Writing</t>
  </si>
  <si>
    <t>LITERARY CRITICISM / Canadian</t>
  </si>
  <si>
    <t>PR9199.3.G584 A87 2012eb</t>
  </si>
  <si>
    <t>Authorship.,Criticism--Canada.</t>
  </si>
  <si>
    <t>Glover, Douglas H.</t>
  </si>
  <si>
    <t>Strike!</t>
  </si>
  <si>
    <t>The Radical Insurrections of Ellen Dawson</t>
  </si>
  <si>
    <t>University Press of Florida</t>
  </si>
  <si>
    <t>HD6073.T4 M36 2010</t>
  </si>
  <si>
    <t>Strikes and lockouts--United States--History.,Women labor leaders--United States--Biography.,Women textile workers--United States--Biography.</t>
  </si>
  <si>
    <t>McMullen, David Lee.</t>
  </si>
  <si>
    <t>Working in the Americas</t>
  </si>
  <si>
    <t>Conspiracies and Secret Societies</t>
  </si>
  <si>
    <t>The Complete Dossier</t>
  </si>
  <si>
    <t>SOCIAL SCIENCE / Conspiracy Theories</t>
  </si>
  <si>
    <t>HV6275 . S74 2013</t>
  </si>
  <si>
    <t>Conspiracies--Encyclopedias.,Secret societies--Encyclopedias.</t>
  </si>
  <si>
    <t>Steiger, Brad.-Steiger, Sherry.</t>
  </si>
  <si>
    <t>The Shyster's Daughter</t>
  </si>
  <si>
    <t>HQ755.86 .P74 2012eb</t>
  </si>
  <si>
    <t>Fathers and daughters--California--Biography.,Greek American women--California--Biography.</t>
  </si>
  <si>
    <t>Priamos, Paula.</t>
  </si>
  <si>
    <t>Numbers and Other Math Ideas Come Alive</t>
  </si>
  <si>
    <t>Wide World Publishing</t>
  </si>
  <si>
    <t>MATHEMATICS / Essays</t>
  </si>
  <si>
    <t>QA93 .P373 2012eb</t>
  </si>
  <si>
    <t>Mathematics.</t>
  </si>
  <si>
    <t>Pappas, Theoni.</t>
  </si>
  <si>
    <t>Ballerina</t>
  </si>
  <si>
    <t>Sex, Scandal, and Suffering Behind the Symbol of Perfection</t>
  </si>
  <si>
    <t>GV1787 .K35 2012</t>
  </si>
  <si>
    <t>Ballerinas.,Ballerinas--Biography.,Ballet dancing--History.,Ballet dancing--Social aspects.</t>
  </si>
  <si>
    <t>Kelly, Deirdre</t>
  </si>
  <si>
    <t>Joni</t>
  </si>
  <si>
    <t>The Creative Odyssey of Joni Mitchell</t>
  </si>
  <si>
    <t>ML410.M6823 M74 2012eb</t>
  </si>
  <si>
    <t>Composers--Canada--Biography.,Singers--Canada--Biography.</t>
  </si>
  <si>
    <t>Monk, Katherine</t>
  </si>
  <si>
    <t>The View From The Studio Door</t>
  </si>
  <si>
    <t>How Artists Find Their Way In An Uncertain World</t>
  </si>
  <si>
    <t>Image Continuum Press</t>
  </si>
  <si>
    <t>ART / Reference</t>
  </si>
  <si>
    <t>N71 .O74</t>
  </si>
  <si>
    <t>Art--Philosophy.</t>
  </si>
  <si>
    <t>Orland, Ted.</t>
  </si>
  <si>
    <t>The Burning Island</t>
  </si>
  <si>
    <t>Myth and History of the Hawaiian Volcano Country</t>
  </si>
  <si>
    <t>QE524</t>
  </si>
  <si>
    <t>Hawaiian mythology.,Volcanoes--Hawaii--Hawaii Island.</t>
  </si>
  <si>
    <t>Frierson, Pamela.</t>
  </si>
  <si>
    <t>Home Ground</t>
  </si>
  <si>
    <t>Language for an American Landscape</t>
  </si>
  <si>
    <t>PS169.L35 H66 2006eb</t>
  </si>
  <si>
    <t>American literature--Miscellanea--Encyclopedias.,Americanisms--Encyclopedias.,Geography--Terminology--Encyclopedias.,Landscapes in literature--Encyclopedias.,Local color in literature--Encyclopedias.,Names, Geographical--United States--Encyclopedias.</t>
  </si>
  <si>
    <t>Gwartney, Debra.-Lopez, Barry Holstun</t>
  </si>
  <si>
    <t>1, 2, 3, SÃ!</t>
  </si>
  <si>
    <t>Numbers in English Y EspaÃ±ol</t>
  </si>
  <si>
    <t>JUVENILE NONFICTION / Concepts / Counting &amp; Numbers</t>
  </si>
  <si>
    <t>QA113 .A13138 2011</t>
  </si>
  <si>
    <t>Art appreciation--Juvenile fiction.,Counting--Juvenile literature.</t>
  </si>
  <si>
    <t>San Antonio Museum of Art.</t>
  </si>
  <si>
    <t>ArteKids</t>
  </si>
  <si>
    <t>Clowns and Rats Scare Me</t>
  </si>
  <si>
    <t>PN4874.C519 A25 2009</t>
  </si>
  <si>
    <t>Essay.</t>
  </si>
  <si>
    <t>Clack, Cary.</t>
  </si>
  <si>
    <t>Deep in the Heart of San Antonio</t>
  </si>
  <si>
    <t>Land and Life in South Texas</t>
  </si>
  <si>
    <t>F394.S2157 M55 2004eb</t>
  </si>
  <si>
    <t>In the Country of Empty Crosses</t>
  </si>
  <si>
    <t>The Story of a Hispano Protestant Family in Catholic New Mexico</t>
  </si>
  <si>
    <t>F805.S75 M34 2012</t>
  </si>
  <si>
    <t>Hispanic Americans--New Mexico--Biography.,Hispanic Americans--New Mexico--Ethnic identity.,Hispanic Americans--New Mexico--Religion.,Protestants--New Mexico--Biography.</t>
  </si>
  <si>
    <t>Madrid-Barela, Arturo.-Gandert, Miguel A.</t>
  </si>
  <si>
    <t>Reagan's Comeback</t>
  </si>
  <si>
    <t>Four Weeks in Texas That Changed American Politics Forever</t>
  </si>
  <si>
    <t>E868 .G37 2012eb</t>
  </si>
  <si>
    <t>Political campaigns--United States--History--20th century.,Presidential candidates--United States--Biography.,Presidents--United States--Biography.,Presidents--United States--Election--1976.</t>
  </si>
  <si>
    <t>Garcia, Gilbert.</t>
  </si>
  <si>
    <t>Stealing History</t>
  </si>
  <si>
    <t>PS3569.T3888 Z46 2012</t>
  </si>
  <si>
    <t>Poets, American--20th century--Biography.</t>
  </si>
  <si>
    <t>Aelian's On the Nature of Animals</t>
  </si>
  <si>
    <t>PA3821 .E5 2011eb</t>
  </si>
  <si>
    <t>Zoology--Pre-Linnean works.</t>
  </si>
  <si>
    <t>Aelian-McNamee, Gregory.</t>
  </si>
  <si>
    <t>The Land's Wild Music</t>
  </si>
  <si>
    <t>Encounters with Barry Lopez, Peter Matthiessen, Terry Tempest William, and James Galvin</t>
  </si>
  <si>
    <t>PS228.L36 T74 2005eb</t>
  </si>
  <si>
    <t>American literature--20th century--History and criticism.,Landscapes in literature.,Nature in literature.,Place (Philosophy) in literature.,Setting (Literature),Wilderness areas in literature.</t>
  </si>
  <si>
    <t>Tredinnick, Mark.</t>
  </si>
  <si>
    <t>The Grand Array</t>
  </si>
  <si>
    <t>PS3568.O454 G73 2010eb</t>
  </si>
  <si>
    <t>Warships--China.,Weapons systems--China.</t>
  </si>
  <si>
    <t>Rogers, Pattiann</t>
  </si>
  <si>
    <t>Terra Antarctica</t>
  </si>
  <si>
    <t>Looking Into the Emptiest Continent</t>
  </si>
  <si>
    <t>G860 .F69 2005</t>
  </si>
  <si>
    <t>Remedios</t>
  </si>
  <si>
    <t>The Healing Life of Eva Castellanoz</t>
  </si>
  <si>
    <t>SOCIAL SCIENCE / Ethnic Studies / Hispanic American Studies</t>
  </si>
  <si>
    <t>GN477</t>
  </si>
  <si>
    <t>Indian women healers--Oregon--Nyssa--Biography.,Mexican American women healers--Oregon--Nyssa--Biography.,Mexican Americans--Oregon--Nyssa--Social conditions.,Traditional medicine--Oregon--Nyssa.</t>
  </si>
  <si>
    <t>Mulcahy, Joanne.</t>
  </si>
  <si>
    <t>Poets on the Psalms</t>
  </si>
  <si>
    <t>PS129 .P62 2008</t>
  </si>
  <si>
    <t>American essays.,Bible as literature.,Poets, American--Religious life.</t>
  </si>
  <si>
    <t>Domina, Lynn.</t>
  </si>
  <si>
    <t>Moral Ground</t>
  </si>
  <si>
    <t>Ethical Action for a Planet in Peril</t>
  </si>
  <si>
    <t>GE42 .M65 2010eb</t>
  </si>
  <si>
    <t>Environmental ethics.,Environmental responsibility.</t>
  </si>
  <si>
    <t>Nelson, Michael P.-Moore, Kathleen Dean.</t>
  </si>
  <si>
    <t>In the Sun's House</t>
  </si>
  <si>
    <t>My Year Teaching on the Navajo Reservation</t>
  </si>
  <si>
    <t>BIOGRAPHY &amp; AUTOBIOGRAPHY / Educators</t>
  </si>
  <si>
    <t>LA2317.C37 A3 2009eb</t>
  </si>
  <si>
    <t>Navajo teenagers--Education--New Mexico.,Navajo teenagers--New Mexico--Attitudes.,Teachers--New Mexico--Biography.,Teacher-student relationships--Navajo Indian Reservation.</t>
  </si>
  <si>
    <t>In the Blue Pharmacy</t>
  </si>
  <si>
    <t>Essays on Poetry and Other Transformations</t>
  </si>
  <si>
    <t>PS3552.O75645I5 2011</t>
  </si>
  <si>
    <t>American poetry--History and criticism.,Poetry--Authorship.</t>
  </si>
  <si>
    <t>Boruch, Marianne.</t>
  </si>
  <si>
    <t>In a Special Light</t>
  </si>
  <si>
    <t>F394.E4</t>
  </si>
  <si>
    <t>Authors, American--Biography.,Landscapes--Texas--El Paso.,Landscapes--Texas--Texas Hill Country.</t>
  </si>
  <si>
    <t>Bode, Elroy.</t>
  </si>
  <si>
    <t>A Kite in the Wind</t>
  </si>
  <si>
    <t>Fiction Writers on Their Craft</t>
  </si>
  <si>
    <t>PN3355 .K526 2011eb</t>
  </si>
  <si>
    <t>Fiction--Authorship.</t>
  </si>
  <si>
    <t>Turchi, Peter-Barrett, Andrea.</t>
  </si>
  <si>
    <t>If You're Lucky, Your Heart Will Break</t>
  </si>
  <si>
    <t>Field Notes From a Zen Life</t>
  </si>
  <si>
    <t>BQ9286.2 .F67 2012</t>
  </si>
  <si>
    <t>Religious life--Zen Buddhism.</t>
  </si>
  <si>
    <t>Ford, James Ishmael.</t>
  </si>
  <si>
    <t>Daughters of Emptiness</t>
  </si>
  <si>
    <t>Poems of Chinese Buddhist Nuns</t>
  </si>
  <si>
    <t>PL2658.E3 G73</t>
  </si>
  <si>
    <t>Buddhist nuns--China.,Chinese poetry--Qing dynasty, 1644-1912--Translations into English.,Chinese poetry--Women authors--Translations into English.</t>
  </si>
  <si>
    <t>Grant, Beata.</t>
  </si>
  <si>
    <t>The Last Atoll</t>
  </si>
  <si>
    <t>Exploring Hawai'i's Endangered Ecosystems</t>
  </si>
  <si>
    <t>NATURE / Ecosystems &amp; Habitats / Coastal Regions &amp; Shorelines</t>
  </si>
  <si>
    <t>QH76.5 .H3 F45 2012</t>
  </si>
  <si>
    <t>Biotic communities--Hawaii--Leeward Islands.,Endangered ecosystems--Hawaii--Leeward Islands.,Endangered species--Hawaii--Leeward Islands.,Natural history--Hawaii--Leeward Islands.</t>
  </si>
  <si>
    <t>One-Way Tickets</t>
  </si>
  <si>
    <t>Writers and the Culture of Exile</t>
  </si>
  <si>
    <t>PN495 .B67 2011</t>
  </si>
  <si>
    <t>Alienation (Social psychology) in literature.,Authors, Exiled--20th century.,Culture in literature.,Emigration and immigration in literature.,Exiles' writings--History and criticism.,Expatriation in literature.,Literature, Modern--20th century--History and criticism.</t>
  </si>
  <si>
    <t>Borinsky, Alicia.</t>
  </si>
  <si>
    <t>I've Heard the Vultures Singing</t>
  </si>
  <si>
    <t>Field Notes on Poetry, Illness, and Nature</t>
  </si>
  <si>
    <t>PS3566.E69146 Z46 2009eb</t>
  </si>
  <si>
    <t>Multiple sclerosis--Patients--Washington (State)--Biography.,Poets, American--20th century--Biography.,Poets, American--Washington (State)--Biography.</t>
  </si>
  <si>
    <t>Perillo, Lucia</t>
  </si>
  <si>
    <t>A Novel Approach to Life</t>
  </si>
  <si>
    <t>LD5361 .T618 G75 2012</t>
  </si>
  <si>
    <t>College teachers--United States--Biography.</t>
  </si>
  <si>
    <t>Grissom, Coleen.</t>
  </si>
  <si>
    <t>Fifty Years of the Texas Observer</t>
  </si>
  <si>
    <t>F391.2 .F54 2012</t>
  </si>
  <si>
    <t>Political culture--Texas.,Progressivism (United States politics)</t>
  </si>
  <si>
    <t>Managing Local Government</t>
  </si>
  <si>
    <t>Public Administration in Practice</t>
  </si>
  <si>
    <t>JS341 .M365 1991</t>
  </si>
  <si>
    <t>Local government--United States.</t>
  </si>
  <si>
    <t>Bingham, Richard D.</t>
  </si>
  <si>
    <t>A Common Strangeness</t>
  </si>
  <si>
    <t>Contemporary Poetry, Cross-Cultural Encounter, Comparative Literature</t>
  </si>
  <si>
    <t>PN1270.5 .E36 2012eb</t>
  </si>
  <si>
    <t>Comparative literature.,Literature and globalization.,Poetry, Modern--20th century--History and criticism.</t>
  </si>
  <si>
    <t>Edmond, Jacob</t>
  </si>
  <si>
    <t>Verbal Arts: Studies in Poetics</t>
  </si>
  <si>
    <t>Marijuana: Let's Grow a Pound</t>
  </si>
  <si>
    <t>A Day by Day Guide to Growing More Than You Can Use</t>
  </si>
  <si>
    <t>SB295.C35 M38 2012</t>
  </si>
  <si>
    <t>Cannabis.,Marijuana.</t>
  </si>
  <si>
    <t>SeeMoreBuds.</t>
  </si>
  <si>
    <t>Levirate Marriage and the Family in Ancient Judaism</t>
  </si>
  <si>
    <t>KBM563 .W45 2009eb</t>
  </si>
  <si>
    <t>Levirate--History.,Rabbinical literature--History and criticism.</t>
  </si>
  <si>
    <t>Weisberg, Dvora E.</t>
  </si>
  <si>
    <t>Best of Times, Worst of Times</t>
  </si>
  <si>
    <t>Memoirs of a Political Education</t>
  </si>
  <si>
    <t>D15.L35 A3 2009</t>
  </si>
  <si>
    <t>Historians--United States--Biography.</t>
  </si>
  <si>
    <t>Laqueur, Walter</t>
  </si>
  <si>
    <t>Ghost-Watching American Modernity</t>
  </si>
  <si>
    <t>Haunting, Landscape, and the Hemispheric Imagination</t>
  </si>
  <si>
    <t>PS159.L38 P55 2012eb</t>
  </si>
  <si>
    <t>American literature--19th century--History and criticism.,American literature--20th century--History and criticism.,Comparative literature--American and Latin American.,Comparative literature--Latin American and American.,Ghosts in literature.,Haunted places.,Landscapes in literature.,Nationalism in literature.,Spanish American literature--19th century--History and criticism.,Spanish American literature--20th century--History and criticism.</t>
  </si>
  <si>
    <t>Blanco, MariÌa del Pilar.</t>
  </si>
  <si>
    <t>Reconstructing Individualism</t>
  </si>
  <si>
    <t>A Pragmatic Tradition From Emerson to Ellison</t>
  </si>
  <si>
    <t>B832</t>
  </si>
  <si>
    <t>Individualism in literature.,Individualism--United States--History.,Literature and society--United States.,Philosophy, American--19th century.,Philosophy, American--20th century.,Pragmatism in literature.</t>
  </si>
  <si>
    <t>Albrecht, James M.</t>
  </si>
  <si>
    <t>American Metempsychosis</t>
  </si>
  <si>
    <t>Emerson, Whitman, and the New Poetry</t>
  </si>
  <si>
    <t>PS217.S44 C67 2012eb</t>
  </si>
  <si>
    <t>American literature--19th century--History and criticism.,National characteristics, American, in literature.,Self-consciousness (Awareness) in literature.,Transmigration in literature.</t>
  </si>
  <si>
    <t>Corrigan, John Michael.</t>
  </si>
  <si>
    <t>Earthy Realism</t>
  </si>
  <si>
    <t>The Meaning of Gaia</t>
  </si>
  <si>
    <t>SOCIAL SCIENCE / Human Geography</t>
  </si>
  <si>
    <t>QH331 .E24 2007eb</t>
  </si>
  <si>
    <t>Biology--Philosophy.,Gaia hypothesis.,Nature--Effect of human beings on.,Religion and science.</t>
  </si>
  <si>
    <t>Midgley, Mary</t>
  </si>
  <si>
    <t>Societas</t>
  </si>
  <si>
    <t>Outcome Measures for Health Education and Other Health Care Interventions</t>
  </si>
  <si>
    <t>RA440.5 .O94 1996eb</t>
  </si>
  <si>
    <t>Health education--Evaluation.,Medical care--Evaluation.</t>
  </si>
  <si>
    <t>Lorig, Kate.</t>
  </si>
  <si>
    <t>Introducing Tectonics, Rock Structures and Mountain Belts</t>
  </si>
  <si>
    <t>QE601 .P346 2012eb</t>
  </si>
  <si>
    <t>Geology, Structural.</t>
  </si>
  <si>
    <t>Park, R. G.</t>
  </si>
  <si>
    <t>Introducing Geomorphology</t>
  </si>
  <si>
    <t>A Guide to Landforms and Processes</t>
  </si>
  <si>
    <t>GB401.5 .H38 2012eb</t>
  </si>
  <si>
    <t>Geomorphology.,Landforms.</t>
  </si>
  <si>
    <t>Harvey, A. M.</t>
  </si>
  <si>
    <t>Historical Dictionary of Islamic Fundamentalism</t>
  </si>
  <si>
    <t>BP166.14.F85 G85 2012eb</t>
  </si>
  <si>
    <t>Islamic fundamentalism--History--Encyclopedias.</t>
  </si>
  <si>
    <t>GuideÌ€re, Mathieu.</t>
  </si>
  <si>
    <t>Madness at the Theatre</t>
  </si>
  <si>
    <t>PN1650.M45</t>
  </si>
  <si>
    <t>Drama--History and criticism.,Mental illness in literature.</t>
  </si>
  <si>
    <t>Oyebode, Femi.</t>
  </si>
  <si>
    <t>Hidden</t>
  </si>
  <si>
    <t>Reflections on Gay Life, AIDS, and Spiritual Desire</t>
  </si>
  <si>
    <t>BX4705.G525 A3 2012eb</t>
  </si>
  <si>
    <t>Care of the sick.,Caring--Religious aspects--Catholic Church.,Catholic gay men--New York--New York--Biography.</t>
  </si>
  <si>
    <t>Giannone, Richard.</t>
  </si>
  <si>
    <t>Taking AIM!</t>
  </si>
  <si>
    <t>The Business of Being an Artist Today</t>
  </si>
  <si>
    <t>N8600 .T345 2011eb</t>
  </si>
  <si>
    <t>Art--Economic aspects.</t>
  </si>
  <si>
    <t>Nieves, Marysol.</t>
  </si>
  <si>
    <t>Fordham</t>
  </si>
  <si>
    <t>A History and Memoir, Revised Edition</t>
  </si>
  <si>
    <t>LD1811.F52 S357 2008eb</t>
  </si>
  <si>
    <t>Loaded Words</t>
  </si>
  <si>
    <t>LITERARY CRITICISM / Shakespeare</t>
  </si>
  <si>
    <t>PE1574 .G26 2012eb</t>
  </si>
  <si>
    <t>English language--Etymology.</t>
  </si>
  <si>
    <t>Garber, Marjorie B.</t>
  </si>
  <si>
    <t>The Lincoln-Douglas Debates</t>
  </si>
  <si>
    <t>The First Complete, Unexpurgated Text</t>
  </si>
  <si>
    <t>E457.4 .L776 2004eb</t>
  </si>
  <si>
    <t>Lincoln-Douglas Debates, Ill., 1858.</t>
  </si>
  <si>
    <t>Lincoln, Abraham-Holzer, Harold.-Douglas, Stephen A.</t>
  </si>
  <si>
    <t>Meyer Berger's New York</t>
  </si>
  <si>
    <t>F128.52 .B45 2004</t>
  </si>
  <si>
    <t>City and town life--New York (State)--New York.</t>
  </si>
  <si>
    <t>Berger, Meyer-Hamill, Pete.</t>
  </si>
  <si>
    <t>Riddles of Belonging</t>
  </si>
  <si>
    <t>India in Translation and Other Tales of Possession</t>
  </si>
  <si>
    <t>LANGUAGE ARTS &amp; DISCIPLINES / Translating &amp; Interpreting</t>
  </si>
  <si>
    <t>PK5409 .M47 2009eb</t>
  </si>
  <si>
    <t>Folk literature, Indic--Translations--History and criticism.,Indic literature--Translations--History and criticism.</t>
  </si>
  <si>
    <t>Merrill, Christi A.</t>
  </si>
  <si>
    <t>Ecospirit</t>
  </si>
  <si>
    <t>Religions and Philosophies for the Earth</t>
  </si>
  <si>
    <t>BL65.N35 E26 2007eb</t>
  </si>
  <si>
    <t>Ecotheology.,Human ecology--Religious aspects.,Nature--Religious aspects.</t>
  </si>
  <si>
    <t>Keller, Catherine-Kearns, Laurel.</t>
  </si>
  <si>
    <t>The Rose Man of Sing Sing</t>
  </si>
  <si>
    <t>A True Tale of Life, Murder, and Redemption in the Age of Yellow Journalism</t>
  </si>
  <si>
    <t>BIOGRAPHY &amp; AUTOBIOGRAPHY / Criminals &amp; Outlaws</t>
  </si>
  <si>
    <t>PN4874.C45 M67 2003eb</t>
  </si>
  <si>
    <t>Journalists--United States--Biography.,Prisoners--United States--Biography.</t>
  </si>
  <si>
    <t>Morris, James McGrath</t>
  </si>
  <si>
    <t>Communications and Media Studies</t>
  </si>
  <si>
    <t>The Trial of the Catonsville Nine</t>
  </si>
  <si>
    <t>PS3503.E734 T68 2004eb</t>
  </si>
  <si>
    <t>Political crimes and offenses--Drama.,Trials (Political crimes and offenses)--Drama.,Vietnam War, 1961-1975--Protest movements--Drama.</t>
  </si>
  <si>
    <t>Berrigan, Daniel.</t>
  </si>
  <si>
    <t>Philosophical Chronicles</t>
  </si>
  <si>
    <t>B792 .N3513 2008eb</t>
  </si>
  <si>
    <t>Philosophy, Modern--21st century.</t>
  </si>
  <si>
    <t>Nancy, Jean-Luc.</t>
  </si>
  <si>
    <t>Apocalyptic Futures</t>
  </si>
  <si>
    <t>Marked Bodies and the Violence of the Text in Kafka, Conrad, and Coetzee</t>
  </si>
  <si>
    <t>PN3347 .S26 2011eb</t>
  </si>
  <si>
    <t>Apocalyptic literature.,Ethics in literature.,Fiction--20th century--History and criticism.,Mimesis in literature.,Prophecy in literature.,Violence in literature.</t>
  </si>
  <si>
    <t>Samolsky, Russell.</t>
  </si>
  <si>
    <t>Theatricality As Medium</t>
  </si>
  <si>
    <t>PN2039 .W36 2004eb</t>
  </si>
  <si>
    <t>Theater--Philosophy.</t>
  </si>
  <si>
    <t>Language, Eros, Being</t>
  </si>
  <si>
    <t>Kabbalistic Hermeneutics and Poetic Imagination</t>
  </si>
  <si>
    <t>RELIGION / Judaism / Kabbalah &amp; Mysticism</t>
  </si>
  <si>
    <t>BM526 .W644 2005eb</t>
  </si>
  <si>
    <t>Cabala--History.,Femininity of God.,Hermeneutics--Religious aspects--Judaism.,Imagination--Religious aspects--Judaism.,Masculinity of God.,Poetics.</t>
  </si>
  <si>
    <t>Wolfson, Elliot R.</t>
  </si>
  <si>
    <t>Standing by the Ruins</t>
  </si>
  <si>
    <t>Elegiac Humanism in Wartime and Postwar Lebanon</t>
  </si>
  <si>
    <t>PJ8078 .S45 2011eb</t>
  </si>
  <si>
    <t>Arabic literature--Lebanon--History and criticism.,Literature and society--Lebanon.,Popular culture--Lebanon.</t>
  </si>
  <si>
    <t>Seigneurie, Ken.</t>
  </si>
  <si>
    <t>Paediatric Nephrology</t>
  </si>
  <si>
    <t>RJ476.K5</t>
  </si>
  <si>
    <t>Pediatric nephrology.</t>
  </si>
  <si>
    <t>Bockenhauer, Detlef.-Brogan, Paul.-Rees, Lesley</t>
  </si>
  <si>
    <t>Oxford Specialist Handbooks in Paediatrics</t>
  </si>
  <si>
    <t>Creating a Purposeful Life</t>
  </si>
  <si>
    <t>How to Reclaim Your Life, Live More Meaningfully and Befriend Time</t>
  </si>
  <si>
    <t>Infinite Ideas</t>
  </si>
  <si>
    <t>TX147 .F384 2012</t>
  </si>
  <si>
    <t>Time management.</t>
  </si>
  <si>
    <t>Fox, Richard.</t>
  </si>
  <si>
    <t>Corneal Healing Responses to Injuries and Refractive Surgeries</t>
  </si>
  <si>
    <t>Kugler Publications</t>
  </si>
  <si>
    <t>HEALTH &amp; FITNESS / Vision</t>
  </si>
  <si>
    <t>RE336</t>
  </si>
  <si>
    <t>Cornea--Surgery--Congresses.</t>
  </si>
  <si>
    <t>Nishida, Teruo</t>
  </si>
  <si>
    <t>Cornea and Refractive Surgery</t>
  </si>
  <si>
    <t>Proceedings of the 46th Annual Symposium of the New Orleans Academy of Ophthalmology, New Orleans, LA, U.S.A., February 21-23, 1997</t>
  </si>
  <si>
    <t>Long, Daniel A.</t>
  </si>
  <si>
    <t>Peril to the Nerve</t>
  </si>
  <si>
    <t>Glaucoma and Clinical Neuro-ophthalmology: Proceedings of the 45th Annual Symposium of the New Orleans Academy of Ophthalmology, New Orleans, LA, USA, April 25-28, 1996</t>
  </si>
  <si>
    <t>RE871 .N47 1996eb</t>
  </si>
  <si>
    <t>Glaucoma--Congresses.,Neuroophthalmology--Congresses.</t>
  </si>
  <si>
    <t>Calkwood, Jonathan C.-Leader, Barry J.</t>
  </si>
  <si>
    <t>Inner Ear Partition</t>
  </si>
  <si>
    <t>HEALTH &amp; FITNESS / Hearing &amp; Speech</t>
  </si>
  <si>
    <t>RF295</t>
  </si>
  <si>
    <t>Labyrinth (Ear)--Surgery.,MeÂ´nie`re's disease.</t>
  </si>
  <si>
    <t>Ars, B.</t>
  </si>
  <si>
    <t>Current Opinions in the Kyoto Cornea Club</t>
  </si>
  <si>
    <t>Proceedings of the Second Annual Meeting of the Kyoto Cornea Club, Kyoto, Japan, December 6-7, 1996</t>
  </si>
  <si>
    <t>Cornea--Diseases--Congresses.,Cornea--Pathophysiology--Congresses.,Cornea--Physiology--Congresses.</t>
  </si>
  <si>
    <t>OÌ„hashi, YuÌ„ichi.-Kinoshita, Shigeru</t>
  </si>
  <si>
    <t>Proceedings of the First Annual Meeting of the Kyoto Cornea Club, Kyoto, Japan, December 1-2, 1995</t>
  </si>
  <si>
    <t>RE336 .K96 1995eb</t>
  </si>
  <si>
    <t>Handbook of Fillers, Extenders, and Diluents</t>
  </si>
  <si>
    <t>Synapse Information Resources, Inc.</t>
  </si>
  <si>
    <t>TP159.F47</t>
  </si>
  <si>
    <t>Fillers (Materials)--Dictionaries.</t>
  </si>
  <si>
    <t>Ash, Michael.-Ash, Irene.</t>
  </si>
  <si>
    <t>Handbook of Food Packaging Chemicals and Materials</t>
  </si>
  <si>
    <t>TP374 .A85 2008eb</t>
  </si>
  <si>
    <t>Food--Packaging--Handbooks, manuals, etc.,Packaging--Materials--Handbooks, manuals, etc.</t>
  </si>
  <si>
    <t>The Women Who Reconstructed American Jewish Education, 1910-1965</t>
  </si>
  <si>
    <t>LC741 .W66 2010eb</t>
  </si>
  <si>
    <t>Jewish educators--United States--History--20th century.,Jews--Education--United States--History--20th century.,Women educators--United States--History--20th century.</t>
  </si>
  <si>
    <t>Ingall, Carol K.</t>
  </si>
  <si>
    <t>Esthetics in Dentistry</t>
  </si>
  <si>
    <t>People's Medical Publishing House USA Ltd (PMPH)</t>
  </si>
  <si>
    <t>PMPH USA, Ltd.</t>
  </si>
  <si>
    <t>HEALTH &amp; FITNESS / Oral Health</t>
  </si>
  <si>
    <t>RK54 .E88 2002</t>
  </si>
  <si>
    <t>Dentistry--Aesthetic aspects.</t>
  </si>
  <si>
    <t>Goldstein, Ronald E.-Teton Data Systems (Firm)-STAT!Ref (Online service)</t>
  </si>
  <si>
    <t>Ballenger's Otorhinolaryngology</t>
  </si>
  <si>
    <t>Head and Neck Surgery</t>
  </si>
  <si>
    <t>RF46 .B25 2009eb</t>
  </si>
  <si>
    <t>Otolaryngology.</t>
  </si>
  <si>
    <t>Ballenger, John Jacob-Wackym, Phillip A.-Snow, James B.</t>
  </si>
  <si>
    <t>Barcelona</t>
  </si>
  <si>
    <t>Visual Culture, Space and Power</t>
  </si>
  <si>
    <t>University of Wales Press</t>
  </si>
  <si>
    <t>N6490</t>
  </si>
  <si>
    <t>Arts and society--Spain--Barcelona.</t>
  </si>
  <si>
    <t>Caulfield, Carlota.-Buffery, Helena.</t>
  </si>
  <si>
    <t>Iberian and Latin American Studies</t>
  </si>
  <si>
    <t>World of Fresh Water</t>
  </si>
  <si>
    <t>TECHNOLOGY &amp; ENGINEERING / Environmental / Water Supply</t>
  </si>
  <si>
    <t>TD348</t>
  </si>
  <si>
    <t>Fresh water--British Columbia.</t>
  </si>
  <si>
    <t>Cannings, Richard.-Cannings, Sydney.</t>
  </si>
  <si>
    <t>The Legacy</t>
  </si>
  <si>
    <t>An Elder's Vision for Our Sustainable Future</t>
  </si>
  <si>
    <t>GF75 .S89 2010eb</t>
  </si>
  <si>
    <t>Environmental protection--Moral and ethical aspects.,Human ecology.,Nature--Effect of human beings on.,Sustainable living.</t>
  </si>
  <si>
    <t>Suzuki, David T.-David Suzuki Foundation.</t>
  </si>
  <si>
    <t>The Great Lakes</t>
  </si>
  <si>
    <t>The Natural History of a Changing Region</t>
  </si>
  <si>
    <t>NATURE / Ecosystems &amp; Habitats / Lakes, Ponds &amp; Swamps</t>
  </si>
  <si>
    <t>QH104.5.G7 G723 2007eb</t>
  </si>
  <si>
    <t>Lake ecology--Great Lakes (North America),Natural history--Great Lakes Region (North America)</t>
  </si>
  <si>
    <t>Grady, Wayne.-Damstra, Emily S.-Litteljohn, Bruce M.-David Suzuki Foundation.</t>
  </si>
  <si>
    <t>David Suzuki Foundation Series</t>
  </si>
  <si>
    <t>The Chickens Fight Back</t>
  </si>
  <si>
    <t>Pandemic Panics and Deadly Diseases That Jump From Animals to Humans</t>
  </si>
  <si>
    <t>HEALTH &amp; FITNESS / Diseases / General</t>
  </si>
  <si>
    <t>RA639 .W35 2007eb</t>
  </si>
  <si>
    <t>Animals as carriers of disease.,Epidemics.,Zoonoses.</t>
  </si>
  <si>
    <t>Waltner-Toews, David</t>
  </si>
  <si>
    <t>The Big Picture</t>
  </si>
  <si>
    <t>Reflections on Science, Humanity, and a Quickly Changing Planet</t>
  </si>
  <si>
    <t>SCIENCE / Essays</t>
  </si>
  <si>
    <t>GF41 .S89 2009eb</t>
  </si>
  <si>
    <t>Human ecology.,Social ecology.</t>
  </si>
  <si>
    <t>Suzuki, David T.-Taylor, Dave Robert</t>
  </si>
  <si>
    <t>The Atlantic Coast</t>
  </si>
  <si>
    <t>E591</t>
  </si>
  <si>
    <t>Thurston, Harry.-Barrett, Wayne.</t>
  </si>
  <si>
    <t>Smiling Bears</t>
  </si>
  <si>
    <t>A Zookeeper Explores the Behaviour and Emotional Life of Bears</t>
  </si>
  <si>
    <t>NATURE / Animals / Bears</t>
  </si>
  <si>
    <t>QL737.C27 P685 2009eb</t>
  </si>
  <si>
    <t>Bears--Behavior.,Human-animal relationships.</t>
  </si>
  <si>
    <t>Poulsen, Else</t>
  </si>
  <si>
    <t>My Maasai Life</t>
  </si>
  <si>
    <t>From Suburbia to Savannah</t>
  </si>
  <si>
    <t>Me to We</t>
  </si>
  <si>
    <t>HV40.32.W58 A3 2009eb</t>
  </si>
  <si>
    <t>Acculturation.,Americans--Kenya--Biography.,Maasai (African people)</t>
  </si>
  <si>
    <t>Wiszowaty, Robin.</t>
  </si>
  <si>
    <t>Ladies of the Field</t>
  </si>
  <si>
    <t>Early Women Archaeologists and Their Search for Adventure</t>
  </si>
  <si>
    <t>BIOGRAPHY &amp; AUTOBIOGRAPHY / Adventurers &amp; Explorers</t>
  </si>
  <si>
    <t>CC110 .A33 2010eb</t>
  </si>
  <si>
    <t>Women archaeologists--Biography.</t>
  </si>
  <si>
    <t>Adams, Amanda</t>
  </si>
  <si>
    <t>How Bad Are Bananas?</t>
  </si>
  <si>
    <t>The Carbon Footprint of Everything</t>
  </si>
  <si>
    <t>QC981.8.G56 B47 2011eb</t>
  </si>
  <si>
    <t>Carbon dioxide mitigation.,Global warming--Prevention.,Sustainable living.</t>
  </si>
  <si>
    <t>Berners-Lee, Mike.</t>
  </si>
  <si>
    <t>Geology of British Columbia</t>
  </si>
  <si>
    <t>A Journey Through Time</t>
  </si>
  <si>
    <t>QE187 .C36 2011eb</t>
  </si>
  <si>
    <t>Geology--British Columbia.</t>
  </si>
  <si>
    <t>Cannings, Sydney.-Cannings, Richard.-Nelson, JoAnne</t>
  </si>
  <si>
    <t>From Naked Ape to Superspecies</t>
  </si>
  <si>
    <t>Humanity and the Global Eco-Crisis</t>
  </si>
  <si>
    <t>SCIENCE / Biotechnology</t>
  </si>
  <si>
    <t>GF75 .S86 2004eb</t>
  </si>
  <si>
    <t>Human ecology.,Human evolution.,Nature--Effect of human beings on.,Renewable natural resources.,Social change.,Social ecology.,Social evolution.,Technological innovations.</t>
  </si>
  <si>
    <t>Suzuki, David T.-Dressel, Holly Jewell.-David Suzuki Foundation.</t>
  </si>
  <si>
    <t>Empire of the Beetle</t>
  </si>
  <si>
    <t>How Human Folly and a Tiny Bug Are Killing North America's Great Forests</t>
  </si>
  <si>
    <t>SB945.B3 N55 2011eb</t>
  </si>
  <si>
    <t>Bark beetles--North America.,Beetles--Effect of forest management on--North America.,Forest insects--Control--North America.,Trees--Diseases and pests--North America.</t>
  </si>
  <si>
    <t>Nikiforuk, Andrew-David Suzuki Foundation.</t>
  </si>
  <si>
    <t>David Suzuki</t>
  </si>
  <si>
    <t>The Autobiography</t>
  </si>
  <si>
    <t>GE56.S89 A3 2006eb</t>
  </si>
  <si>
    <t>Broadcasters--Canada--Biography.,Environmentalists--Canada--Biography.</t>
  </si>
  <si>
    <t>Suzuki, David</t>
  </si>
  <si>
    <t>Climate Cover-Up</t>
  </si>
  <si>
    <t>The Crusade to Deny Global Warming</t>
  </si>
  <si>
    <t>QC903 .H64 2009eb</t>
  </si>
  <si>
    <t>Climatic changes.,Climatic changes--Government policy.,Global warming--Government policy.</t>
  </si>
  <si>
    <t>Hoggan, James-Littlemore, Richard D.</t>
  </si>
  <si>
    <t>HV5840.C3 A63 2006eb</t>
  </si>
  <si>
    <t>Addicts--Canada--Psychology.,Addicts--Psychology.,Alcoholism--Canada--Psychology.,Authors, American--20th century--Biography.,Dependency (Psychology),Drug addicts--Canada--Psychology.</t>
  </si>
  <si>
    <t>Lane, Patrick.-Crozier, Lorna</t>
  </si>
  <si>
    <t>A Passion for This Earth</t>
  </si>
  <si>
    <t>Writers, Scientists, and Activists Explore Our Relationship with Nature and the Environment</t>
  </si>
  <si>
    <t>GF41 .P37 2008eb</t>
  </si>
  <si>
    <t>Environmental policy.,Environmental protection.,Environmentalism.,Human ecology.,Nature--Psychological aspects.</t>
  </si>
  <si>
    <t>McKibben, Bill.-David Suzuki Foundation.-Benjamin, Michelle.</t>
  </si>
  <si>
    <t>David Suzuki Foundation Ser</t>
  </si>
  <si>
    <t>Everyone Wins!</t>
  </si>
  <si>
    <t>Cooperative Games and Activities</t>
  </si>
  <si>
    <t>GV1203 .L89 2007eb</t>
  </si>
  <si>
    <t>Cooperativeness in children.,Games.,Group games.</t>
  </si>
  <si>
    <t>Luvmour, Josette.-Luvmour, Ba</t>
  </si>
  <si>
    <t>Medicine and Compassion</t>
  </si>
  <si>
    <t>A Tibetan Lama's Guidance for Caregivers</t>
  </si>
  <si>
    <t>BQ4570.M4 N95 2004eb</t>
  </si>
  <si>
    <t>Buddhism--China--Tibet Autonomous Region--Doctrines.,Compassion--Religious aspects--Buddhism.,Medicine--Religious aspects--Buddhism.</t>
  </si>
  <si>
    <t>ChoÌˆkyi Nyima-Kunsang, Erik Pema.-Shlim, David R.</t>
  </si>
  <si>
    <t>The Death of the American Death Penalty</t>
  </si>
  <si>
    <t>States Still Leading the Way</t>
  </si>
  <si>
    <t>KF9227.C2 K63 2012eb</t>
  </si>
  <si>
    <t>Capital punishment--United States--States.</t>
  </si>
  <si>
    <t>Koch, Larry Wayne-Galliher, John F.-Wark, Colin.</t>
  </si>
  <si>
    <t>Philosophical Witnessing</t>
  </si>
  <si>
    <t>The Holocaust As Presence</t>
  </si>
  <si>
    <t>D804.3 .L3573 2009eb</t>
  </si>
  <si>
    <t>Good and evil.,Holocaust, Jewish (1939-1945)--Influence.,Holocaust, Jewish (1939-1945)--Moral and ethical aspects.,Jewish philosophy.</t>
  </si>
  <si>
    <t>Lang, Berel.</t>
  </si>
  <si>
    <t>Civil Society and Dictatorship in Modern German History</t>
  </si>
  <si>
    <t>JC337 .K63 2010</t>
  </si>
  <si>
    <t>Civil society--Germany--History--20th century.,Dictatorship--Germany--History--20th century.</t>
  </si>
  <si>
    <t>Kocka, JuÌˆrgen.</t>
  </si>
  <si>
    <t>Jewish Women in Pre-State Israel</t>
  </si>
  <si>
    <t>Life History, Politics, and Culture</t>
  </si>
  <si>
    <t>HQ1728.5</t>
  </si>
  <si>
    <t>Feminism--Israel--History--Congresses.,Feminism--Palestine--History--Congresses.,Jewish women--Israel--History--Congresses.,Jewish women--Palestine--History--Congresses.</t>
  </si>
  <si>
    <t>Kark, Ruth.-Shilo, Margalit.-Hasan-Rokem, Galit.</t>
  </si>
  <si>
    <t>The Atlantic Century</t>
  </si>
  <si>
    <t>Four Generations of Extraordinary Diplomats Who Forged America's Vital Alliance with Europe</t>
  </si>
  <si>
    <t>D1065.U5</t>
  </si>
  <si>
    <t>Diplomats--Europe--History--20th century.,Diplomats--United States--History--20th century.</t>
  </si>
  <si>
    <t>Weisbrode, Kenneth.</t>
  </si>
  <si>
    <t>Sundays at Sinai</t>
  </si>
  <si>
    <t>A Jewish Congregation in Chicago</t>
  </si>
  <si>
    <t>BM225.C52 C493 2012eb</t>
  </si>
  <si>
    <t>Reform Judaism--Illinois--Chicago--History.</t>
  </si>
  <si>
    <t>Brinkmann, Tobias.</t>
  </si>
  <si>
    <t>Essays in Ancient and Modern Historiography</t>
  </si>
  <si>
    <t>DE8 .M655 2012eb</t>
  </si>
  <si>
    <t>Historiography.,History, Ancient.</t>
  </si>
  <si>
    <t>Momigliano, Arnaldo.-Grafton, Anthony.</t>
  </si>
  <si>
    <t>A History of the Negro Troops in the War of the Rebellion, 1861-1865</t>
  </si>
  <si>
    <t>E540.N3</t>
  </si>
  <si>
    <t>Williams, George Washington-Smith, John David</t>
  </si>
  <si>
    <t>Fertility and Jewish Law</t>
  </si>
  <si>
    <t>Feminist Perspectives on Orthodox Responsa Literature</t>
  </si>
  <si>
    <t>BM538.C68</t>
  </si>
  <si>
    <t>Abortion--Religious aspects--Judaism.,Conception--Religious aspects--Judaism.,Jewish law.</t>
  </si>
  <si>
    <t>Irshai, Ronit.-Linsider, Joel A.</t>
  </si>
  <si>
    <t>Religion and Jewish Identity in the Soviet Union, 1941â€“1964</t>
  </si>
  <si>
    <t>DS134.85</t>
  </si>
  <si>
    <t>Jews--Government policy--Soviet Union.,Jews--Soviet Union--History.,Jews--Soviet Union--Identity.,Jews--Soviet Union--Social conditions.</t>
  </si>
  <si>
    <t>Altshuler, Mordechai.-Sternberg, Saadya.</t>
  </si>
  <si>
    <t>The Tauber Institute Series for the Study of European Jewry</t>
  </si>
  <si>
    <t>Red Star Airacobra</t>
  </si>
  <si>
    <t>Memoirs of a Soviet Fighter Ace 1941-45</t>
  </si>
  <si>
    <t>Casemate Publishers &amp; Book Distributors, LLC</t>
  </si>
  <si>
    <t>Helion and Company</t>
  </si>
  <si>
    <t>UG626.2.M37 A3 2006eb</t>
  </si>
  <si>
    <t>Fighter pilots--Soviet Union--Biography.,World War, 1939-1945--Aerial operations, Soviet.</t>
  </si>
  <si>
    <t>MariinskiiÌ†, Evg.-Drabkin, Artem</t>
  </si>
  <si>
    <t>Soviet Memories of War</t>
  </si>
  <si>
    <t>Penalty Strike</t>
  </si>
  <si>
    <t>The Memoirs of a Red Army Penal Company Commander 1943-45</t>
  </si>
  <si>
    <t>D757.9.B4 P9513 2006eb</t>
  </si>
  <si>
    <t>Berlin, Battle of, Berlin, Germany, 1945--Personal narratives, Soviet.,Soldiers--Soviet Union--Biography.,World War, 1939-1945--Campaigns--Eastern Front.,World War, 1939-1945--Campaigns--Germany.</t>
  </si>
  <si>
    <t>PylÊ¹tï¸ sï¸¡yn, A. V.-Drabkin, Artem</t>
  </si>
  <si>
    <t>Over Fields of Fire</t>
  </si>
  <si>
    <t>Flying the Sturmovik in Action on the Eastern Front 1942-45</t>
  </si>
  <si>
    <t>D792.S65 T55 2010eb</t>
  </si>
  <si>
    <t>Ili?u?shin Il-2 (Attack plane),World War, 1939-1945--Aerial operations, Soviet.</t>
  </si>
  <si>
    <t>Timofeeva-Egorova, A. A.</t>
  </si>
  <si>
    <t>Progress in Commutative Algebra 2</t>
  </si>
  <si>
    <t>Closures, Finiteness and Factorization</t>
  </si>
  <si>
    <t>MATHEMATICS / Algebra / Abstract</t>
  </si>
  <si>
    <t>QA251.3</t>
  </si>
  <si>
    <t>Commutative algebra.</t>
  </si>
  <si>
    <t>Francisco, Christopher.</t>
  </si>
  <si>
    <t>Progress in Commutative Algebra</t>
  </si>
  <si>
    <t>Kant's Philosophy of the Unconscious</t>
  </si>
  <si>
    <t>B2798 .K2265 2012eb</t>
  </si>
  <si>
    <t>Consciousness.,Subconsciousness.</t>
  </si>
  <si>
    <t>Sgarbi, Marco-Pozzo, Riccardo-Giordanetti, Piero.</t>
  </si>
  <si>
    <t>Progress in Commutative Algebra 1</t>
  </si>
  <si>
    <t>Combinatorics and Homology</t>
  </si>
  <si>
    <t>QA251.3 .P76 2012eb</t>
  </si>
  <si>
    <t>Hummel, Livia.-Klingler, Lee C.-Francisco, Christopher.-Clark, Timothy B. P.-Leuschke, Graham J.-Migliore, Juan C.-Harbourne, Brian.-Cooper, Susan M.-Vassilev, Janet C.-Yao, Yongwei.-FlÃ¸ystad, Gunnar.-Sather-Wagstaff, Sean.-Villarreal RodriÌguez, Rafael Heraclio.-Roberts, Paul C.-Morey, Susan.-Mermin, Jeff.-Geramita, Anthony V.</t>
  </si>
  <si>
    <t>Font of Life</t>
  </si>
  <si>
    <t>Ambrose, Augustine, and the Mystery of Baptism</t>
  </si>
  <si>
    <t>BR1720.A9 W54 2012eb</t>
  </si>
  <si>
    <t>Wills, Garry</t>
  </si>
  <si>
    <t>Emblems of Antiquity</t>
  </si>
  <si>
    <t>Glorious, Accursed Europe</t>
  </si>
  <si>
    <t>DS135.E83 S5413 2010eb</t>
  </si>
  <si>
    <t>Israelis.,Jews--Europe--History--19th century.,Jews--Europe--History--20th century.,Jews--Europe--Identity.</t>
  </si>
  <si>
    <t>Shavit, Jacob.-Reinharz, Jehuda.</t>
  </si>
  <si>
    <t>Polygamy in Primetime</t>
  </si>
  <si>
    <t>Media, Gender, and Politics in Mormon Fundamentalism</t>
  </si>
  <si>
    <t>HQ994 .B46 2012eb</t>
  </si>
  <si>
    <t>Mormon fundamentalism.,Mormon women--Social conditions.,Polygamy.</t>
  </si>
  <si>
    <t>Bennion, Janet</t>
  </si>
  <si>
    <t>Brandeis Series on Gender, Culture, Religion, and Law</t>
  </si>
  <si>
    <t>Pharmacotherapeutics in Medical Disorders</t>
  </si>
  <si>
    <t>RJ550 .A36 2012eb</t>
  </si>
  <si>
    <t>Adolescent medicine.,Adolescent psychology.</t>
  </si>
  <si>
    <t>Greydanus, Donald E.</t>
  </si>
  <si>
    <t>Pharmacotherapeutics in General, Mental and Sexual Health</t>
  </si>
  <si>
    <t>Jewish Renaissance and Revival in America</t>
  </si>
  <si>
    <t>E184.353 .J49 2011eb</t>
  </si>
  <si>
    <t>Jews--United States--History--19th century.,Jews--United States--History--20th century.,Jews--United States--Intellectual life--19th century.,Jews--United States--Intellectual life--20th century.,Jews--United States--Social conditions--19th century.,Jews--United States--Social conditions--20th century.,Jews--United States--Social life and customs.,Jews--United States--Societies, etc.--History--19th century.</t>
  </si>
  <si>
    <t>Sarna, Jonathan D.-Fishbane, Eitan P.-Fishbane, Leah Levitz.</t>
  </si>
  <si>
    <t>Brandeis Series in American Jewish History, Culture, and Life</t>
  </si>
  <si>
    <t>American Dietetic Association Guide to Diabetes Medical Nutrition Therapy and Education</t>
  </si>
  <si>
    <t>Academy of Nutrition and Dietetics</t>
  </si>
  <si>
    <t>HEALTH &amp; FITNESS / Diseases / Diabetes</t>
  </si>
  <si>
    <t>RC662 .A435 2005eb</t>
  </si>
  <si>
    <t>Diabetes--Diet therapy.,Patient education.</t>
  </si>
  <si>
    <t>O'Connell, Belinda S.-Boucher, Jackie.-Ross, Tami.-American Dietetic Association.</t>
  </si>
  <si>
    <t>The Clinical Guide to Oncology Nutrition</t>
  </si>
  <si>
    <t>MEDICAL / Oncology / General</t>
  </si>
  <si>
    <t>RC271.D52 C57 2006eb</t>
  </si>
  <si>
    <t>Cancer--Diet therapy.,Cancer--Nutritional aspects.</t>
  </si>
  <si>
    <t>McCallum, Paula Davis.-Molseed, Laura L.-Elliott, Laura-American Dietetic Association.</t>
  </si>
  <si>
    <t>Cardiovascular Nutrition</t>
  </si>
  <si>
    <t>Disease Management and Prevention</t>
  </si>
  <si>
    <t>RC669 .C2874 2004eb</t>
  </si>
  <si>
    <t>Cardiovascular system--Diseases--Diet therapy.,Cardiovascular system--Diseases--Nutritional aspects.,Cardiovascular system--Diseases--Prevention.</t>
  </si>
  <si>
    <t>Hark, Lisa.-Burke, Frances M.-Carson, Jo Ann S.</t>
  </si>
  <si>
    <t>The Illustrated Method of Archimedes</t>
  </si>
  <si>
    <t>Utilizing the Law of the Lever to Calculate Areas, Volumes, and Centers of Gravity</t>
  </si>
  <si>
    <t>C. Roy Keys, Inc.</t>
  </si>
  <si>
    <t>Apeiron</t>
  </si>
  <si>
    <t>SCIENCE / Mechanics / General</t>
  </si>
  <si>
    <t>QA805</t>
  </si>
  <si>
    <t>Mechanics.</t>
  </si>
  <si>
    <t>Assis, AndreÌ Koch Torres-Magnaghi, C. P.</t>
  </si>
  <si>
    <t>Beneficiation of Phosphates</t>
  </si>
  <si>
    <t>New Thought, New Technology, New Development</t>
  </si>
  <si>
    <t>Society for Mining Metallurgy &amp; Exploration</t>
  </si>
  <si>
    <t>Society for Mining, Metallurgy, and Exploration, Inc.</t>
  </si>
  <si>
    <t>TECHNOLOGY &amp; ENGINEERING / Mining</t>
  </si>
  <si>
    <t>TN538.P43 B46 2012</t>
  </si>
  <si>
    <t>Ore-dressing.,Phosphates.</t>
  </si>
  <si>
    <t>Zhang, Patrick.-Miller, J. D.-El-Shall, Hassan E.</t>
  </si>
  <si>
    <t>Seminars in Liaison Psychiatry</t>
  </si>
  <si>
    <t>RC455.2.C65 S46</t>
  </si>
  <si>
    <t>Consultation-liaison psychiatry.</t>
  </si>
  <si>
    <t>Guthrie, Elspeth.-Temple, Melanie.-Rao, Sanjay.</t>
  </si>
  <si>
    <t>An Uncommon Man</t>
  </si>
  <si>
    <t>The Life and Times of Senator Claiborne Pell</t>
  </si>
  <si>
    <t>E840.8.P36 M55 2011</t>
  </si>
  <si>
    <t>Miller, G. Wayne.</t>
  </si>
  <si>
    <t>Cruel and Unusual</t>
  </si>
  <si>
    <t>The American Death Penalty and the Foundersâ€™ Eighth Amendment</t>
  </si>
  <si>
    <t>KF9227.C2 B478 2012</t>
  </si>
  <si>
    <t>Capital punishment--United States.</t>
  </si>
  <si>
    <t>Bessler, John D.</t>
  </si>
  <si>
    <t>Forsaken</t>
  </si>
  <si>
    <t>The Menstruant in Medieval Jewish Mysticism</t>
  </si>
  <si>
    <t>BM702 .K663 2011eb</t>
  </si>
  <si>
    <t>Judaism--History--Medieval and early modern period, 425-1789.,Menstruation--Religious aspects--Judaism.,Mysticism--Judaism--History.,Purity, Ritual--Judaism.</t>
  </si>
  <si>
    <t>Koren, Sharon Faye.</t>
  </si>
  <si>
    <t>Java for Artists</t>
  </si>
  <si>
    <t>The Art, Philosophy, and Science of Object-oriented Programming</t>
  </si>
  <si>
    <t>Pulp Free Press</t>
  </si>
  <si>
    <t>QA76.73.J38 M555 2006eb</t>
  </si>
  <si>
    <t>Java (Computer program language),Object-oriented programming (Computer science)</t>
  </si>
  <si>
    <t>Miller, Rick-Kasparian, Raffi</t>
  </si>
  <si>
    <t>The Handy Math Answer Book</t>
  </si>
  <si>
    <t>MATHEMATICS / Reference</t>
  </si>
  <si>
    <t>QA99 .B18 2012eb</t>
  </si>
  <si>
    <t>Arithmetic--Miscellanea.,Mathematics--Miscellanea.</t>
  </si>
  <si>
    <t>Barnes-Svarney, Patricia L.-Svarney, Thomas E..</t>
  </si>
  <si>
    <t>Revolutionary Spirits</t>
  </si>
  <si>
    <t>The Enlightened Faith of America's Founding Fathers</t>
  </si>
  <si>
    <t>BlueBridge</t>
  </si>
  <si>
    <t>HISTORY / United States / Revolutionary Period (1775-1800)</t>
  </si>
  <si>
    <t>BR520 .K69 2010eb</t>
  </si>
  <si>
    <t>Founding Fathers of the United States--Religious life.</t>
  </si>
  <si>
    <t>Kowalski, Gary A.</t>
  </si>
  <si>
    <t>C++ for Artists</t>
  </si>
  <si>
    <t>COMPUTERS / Programming Languages / C#</t>
  </si>
  <si>
    <t>QA76.73.C153 M555 2003b</t>
  </si>
  <si>
    <t>C++ (Computer program language),Computer software--Development.,Object-oriented methods (Computer science)</t>
  </si>
  <si>
    <t>Miller, Rick.</t>
  </si>
  <si>
    <t>The Origin of Humanness in the Biology of Love</t>
  </si>
  <si>
    <t>QH331 .M37 2008eb</t>
  </si>
  <si>
    <t>Human beings.,Human evolution.,Love.</t>
  </si>
  <si>
    <t>Maturana, Humberto R.-Bunnell, Pille.-Verden-ZoÌˆller, Gerda.</t>
  </si>
  <si>
    <t>Sense and Sensibility</t>
  </si>
  <si>
    <t>PR4034 .S4 2004eb</t>
  </si>
  <si>
    <t>Sisters--Fiction.</t>
  </si>
  <si>
    <t>Austen, Jane-Lamont, Claire.-Doody, Margaret Anne.-Kinsley, James.</t>
  </si>
  <si>
    <t>Oxford World's Classics</t>
  </si>
  <si>
    <t>Insulin Resistance</t>
  </si>
  <si>
    <t>Symptoms, Causes and Treatment</t>
  </si>
  <si>
    <t>MEDICAL / Pharmacology</t>
  </si>
  <si>
    <t>RC662.4 .I567 2009eb</t>
  </si>
  <si>
    <t>Insulin resistance.</t>
  </si>
  <si>
    <t>MolieÌ€re, Jocelyn.-Gauthier, Lance</t>
  </si>
  <si>
    <t>Metabolic Diseases-laboratory and Clinical Research Series</t>
  </si>
  <si>
    <t>The Conceptual Foundations of Systems Biology</t>
  </si>
  <si>
    <t>QH324.2 .M364 2009eb</t>
  </si>
  <si>
    <t>Systems biology.</t>
  </si>
  <si>
    <t>Marcum, James A.</t>
  </si>
  <si>
    <t>Systems Biology-theory, Techniques and Applications Series</t>
  </si>
  <si>
    <t>Protecting Your Internet Identity</t>
  </si>
  <si>
    <t>Are You Naked Online?</t>
  </si>
  <si>
    <t>TECHNOLOGY &amp; ENGINEERING / Telecommunications</t>
  </si>
  <si>
    <t>HM851 .C57 2012</t>
  </si>
  <si>
    <t>Internet--Social aspects.,Online identities--Social aspects.,Online identity theft--Prevention.</t>
  </si>
  <si>
    <t>Claypoole, Ted-Swecker, Chris.-Payton, Theresa</t>
  </si>
  <si>
    <t>North American Tunneling 2010 Proceedings</t>
  </si>
  <si>
    <t>Society for Mining, Metallurgy, and Exploration</t>
  </si>
  <si>
    <t>TA800 .N69 2010</t>
  </si>
  <si>
    <t>Tunneling--North America--Congresses.,Underground construction--Congresses.</t>
  </si>
  <si>
    <t>Eckert, Lawrence R.</t>
  </si>
  <si>
    <t>Data Breaches</t>
  </si>
  <si>
    <t>Trends, Costs and Best Practices</t>
  </si>
  <si>
    <t>IT Governance Ltd.</t>
  </si>
  <si>
    <t>IT Governance Publishing</t>
  </si>
  <si>
    <t>QA76.9.A25 D38 2008eb</t>
  </si>
  <si>
    <t>Computer crimes--Economic aspects.,Computer security.,Data protection.,Data protection--Law and legislation.</t>
  </si>
  <si>
    <t>IT Governance (Organization).</t>
  </si>
  <si>
    <t>Raptor</t>
  </si>
  <si>
    <t>PS3606.E385 R37 2012eb</t>
  </si>
  <si>
    <t>Feld, Andrew</t>
  </si>
  <si>
    <t>Phoenix Poets</t>
  </si>
  <si>
    <t>A Small Nation in the Turmoil of the Second World War</t>
  </si>
  <si>
    <t>Money, Finance and Occupation (Belgium, Its Enemies, Its Friends, 1939-1945)</t>
  </si>
  <si>
    <t>HG3106 .W4613 2009eb (Online)</t>
  </si>
  <si>
    <t>Wee, Herman van der.-Verbreyt, Monique.</t>
  </si>
  <si>
    <t>Studies in Social and Economic History</t>
  </si>
  <si>
    <t>Rescue Our World</t>
  </si>
  <si>
    <t>52 Brilliant Little Ideas for Becoming an Eco-hero</t>
  </si>
  <si>
    <t>POLITICAL SCIENCE / Public Policy / Environmental Policy</t>
  </si>
  <si>
    <t>TD171.7 .M377 2008</t>
  </si>
  <si>
    <t>Environmental protection--Citizen participation.,Environmentalism.,Recycling (Waste, etc.),Sustainable living.</t>
  </si>
  <si>
    <t>Marshall, Natalia.</t>
  </si>
  <si>
    <t>52 Brilliant Ideas</t>
  </si>
  <si>
    <t>Save the Planet</t>
  </si>
  <si>
    <t>52 Brilliant Ideas for Rescuing Our World</t>
  </si>
  <si>
    <t>BUSINESS &amp; ECONOMICS / Development / Sustainable Development</t>
  </si>
  <si>
    <t>TD171.7</t>
  </si>
  <si>
    <t>Environmental protection--Citizen participation.,Environmentalism.,Green movement.,Sustainable living.</t>
  </si>
  <si>
    <t>5 Loaves, 2 Fishes, and 6 Chicken Nuggets</t>
  </si>
  <si>
    <t>Urinations From Inside the Fast Food Tent</t>
  </si>
  <si>
    <t>BUSINESS &amp; ECONOMICS / Industries / Hospitality, Travel &amp; Tourism</t>
  </si>
  <si>
    <t>TX945.3 .G533 2006</t>
  </si>
  <si>
    <t>Fast food restaurants--History.,Fast food restaurants--Social aspects.</t>
  </si>
  <si>
    <t>Gibbons, Barry J.</t>
  </si>
  <si>
    <t>Bright 'I's</t>
  </si>
  <si>
    <t>Performing Interpersonal Violence</t>
  </si>
  <si>
    <t>Court, Curse, and Comedy in Fourth-Century BCE Athens</t>
  </si>
  <si>
    <t>PA3203 .R54 2012eb</t>
  </si>
  <si>
    <t>Theater--Greece--History--To 500.,Violence in the theater.,Violence--Greece--Athens--History.</t>
  </si>
  <si>
    <t>Riess, Werner.</t>
  </si>
  <si>
    <t>MythosEikonPoiesis</t>
  </si>
  <si>
    <t>Mastering TypoScript: TYPO3 Website, Template, and Extension Development</t>
  </si>
  <si>
    <t>COMPUTERS / Data Processing</t>
  </si>
  <si>
    <t>TK5105.888 .K63 2006eb</t>
  </si>
  <si>
    <t>Web site development.,Web sites--Design.</t>
  </si>
  <si>
    <t>Koch, Daniel.</t>
  </si>
  <si>
    <t>From Technologies to Solutions</t>
  </si>
  <si>
    <t>WordPress Complete</t>
  </si>
  <si>
    <t>A Comprehensive, Step-by-step Guide on How to Set Up, Customize, and Market Your Blog Using WordPress</t>
  </si>
  <si>
    <t>COMPUTERS / Web / User-Generated Content</t>
  </si>
  <si>
    <t>TK5105.8885.W67 H39 2006eb</t>
  </si>
  <si>
    <t>Blogs.,Blogs--Design.,Blogs--Management.,Electronic journals.,Web sites--Design.</t>
  </si>
  <si>
    <t>Hayder, Hasin.</t>
  </si>
  <si>
    <t>Designing and Implementing Linux Firewalls and QoS Using Netfilter, Iproute2, NAT, and L7-filter</t>
  </si>
  <si>
    <t>COMPUTERS / Data Transmission Systems / General</t>
  </si>
  <si>
    <t>TK5105.5 .G44 2006eb</t>
  </si>
  <si>
    <t>Computer networks.,Firewalls (Computer security)</t>
  </si>
  <si>
    <t>Gheorghe, Lucian.</t>
  </si>
  <si>
    <t>PHPEclipse</t>
  </si>
  <si>
    <t>A User Guide</t>
  </si>
  <si>
    <t>QA76.73.P47 S58 2006eb</t>
  </si>
  <si>
    <t>PHP (Computer program language)</t>
  </si>
  <si>
    <t>Chow, Shu-Wai.</t>
  </si>
  <si>
    <t>Evidence-based Family Practice</t>
  </si>
  <si>
    <t>RC49</t>
  </si>
  <si>
    <t>Evidence-based medicine.,Family medicine.,Primary care (Medicine)</t>
  </si>
  <si>
    <t>Rosser, Walter-Shaughnessy, Allen.-Slawson, David.</t>
  </si>
  <si>
    <t>Advanced Therapy in Surgical Oncology</t>
  </si>
  <si>
    <t>HEALTH &amp; FITNESS / Diseases / Cancer</t>
  </si>
  <si>
    <t>RD651 .A375 2008eb</t>
  </si>
  <si>
    <t>Cancer--Surgery.</t>
  </si>
  <si>
    <t>Pollock, Raphael E.</t>
  </si>
  <si>
    <t>Atlas of Gastrointestinal Surgery</t>
  </si>
  <si>
    <t>HEALTH &amp; FITNESS / Diseases / Gastrointestinal</t>
  </si>
  <si>
    <t>RD540 .C35 2007eb</t>
  </si>
  <si>
    <t>Gastrointestinal system--Surgery--Atlases.</t>
  </si>
  <si>
    <t>Cameron, John L.-Sandone, Corinne.</t>
  </si>
  <si>
    <t>Chronic Obstructive Lung Diseases</t>
  </si>
  <si>
    <t>MEDICAL / Pulmonary &amp; Thoracic Medicine</t>
  </si>
  <si>
    <t>RC776.O3 C47 2008eb</t>
  </si>
  <si>
    <t>Lungs--Diseases, Obstructive.</t>
  </si>
  <si>
    <t>MacNee, William.-Voelkel, Norbert F.</t>
  </si>
  <si>
    <t>Otitis Media in Infants and Children</t>
  </si>
  <si>
    <t>MEDICAL / Pediatric Emergencies</t>
  </si>
  <si>
    <t>RF225 .B57 2007eb</t>
  </si>
  <si>
    <t>Otitis media in children.</t>
  </si>
  <si>
    <t>Bluestone, Charles D.-Klein, Jerome O.</t>
  </si>
  <si>
    <t>Walker's Pediatric Gastrointestinal Disease</t>
  </si>
  <si>
    <t>Physiology, Diagnosis, Management</t>
  </si>
  <si>
    <t>MEDICAL / Gastroenterology</t>
  </si>
  <si>
    <t>RJ446</t>
  </si>
  <si>
    <t>Pediatric gastroenterology.</t>
  </si>
  <si>
    <t>Walker, W. Allan.-Kleinman, Ronald E.</t>
  </si>
  <si>
    <t>Rheumatoid Arthritis FAQs</t>
  </si>
  <si>
    <t>HEALTH &amp; FITNESS / Diseases / Musculoskeletal</t>
  </si>
  <si>
    <t>RC933 .N49 2007eb</t>
  </si>
  <si>
    <t>Rheumatoid arthritis.</t>
  </si>
  <si>
    <t>Newman, Eric D.-Matzko, Cynthia K.-Geisinger Medical Center.</t>
  </si>
  <si>
    <t>FAQs Series</t>
  </si>
  <si>
    <t>PDQ Biochemistry</t>
  </si>
  <si>
    <t>SCIENCE / Life Sciences / Biochemistry</t>
  </si>
  <si>
    <t>QD415</t>
  </si>
  <si>
    <t>Biochemistry.,Biochemistry--Problems, exercises, etc.</t>
  </si>
  <si>
    <t>Baker, Roy-Murray, R. K.</t>
  </si>
  <si>
    <t>PDQ Statistics</t>
  </si>
  <si>
    <t>MEDICAL / Biostatistics</t>
  </si>
  <si>
    <t>R853.S7 N676 2003eb</t>
  </si>
  <si>
    <t>Biometry.,Medical statistics.</t>
  </si>
  <si>
    <t>Norman, Geoffrey R.-Streiner, David L.</t>
  </si>
  <si>
    <t>PDQ Series</t>
  </si>
  <si>
    <t>Surgery of the Cerebellopontine Angle</t>
  </si>
  <si>
    <t>RD594 .S933 2009eb</t>
  </si>
  <si>
    <t>Cerebellopontile angle--Surgery.,Cerebellum--Surgery.</t>
  </si>
  <si>
    <t>Bambakidis, Nicholas C.-Spetzler, Robert F.-Megerian, Cliff A.</t>
  </si>
  <si>
    <t>Reflections on the Contemporary Law of the Sea</t>
  </si>
  <si>
    <t>KZA1145 .T84 2012</t>
  </si>
  <si>
    <t>Law of the sea.</t>
  </si>
  <si>
    <t>Tuerk, Helmut.</t>
  </si>
  <si>
    <t>Firesetting and Mental Health</t>
  </si>
  <si>
    <t>Theory, Research and Practice</t>
  </si>
  <si>
    <t>PSYCHOLOGY / Psychopathology / Compulsive Behavior</t>
  </si>
  <si>
    <t>RC569.5.P9 F57 2012eb</t>
  </si>
  <si>
    <t>Pyromania.</t>
  </si>
  <si>
    <t>Gannon, Theresa A.-Sugarman, Philip A.-Dickens, Geoffrey L.</t>
  </si>
  <si>
    <t>Expert Psychiatric Evidence</t>
  </si>
  <si>
    <t>RA1151 .R59 2011eb</t>
  </si>
  <si>
    <t>Evidence, Expert.,Forensic psychiatry.,Report writing.</t>
  </si>
  <si>
    <t>Rix, Keith J. B.</t>
  </si>
  <si>
    <t>Writing Human Factors Research Papers</t>
  </si>
  <si>
    <t>A Guidebook</t>
  </si>
  <si>
    <t>Ashgate</t>
  </si>
  <si>
    <t>T11 .H337 2011eb</t>
  </si>
  <si>
    <t>Technical writing--Psychological aspects.</t>
  </si>
  <si>
    <t>Harris, Don</t>
  </si>
  <si>
    <t>Design Wise</t>
  </si>
  <si>
    <t>A Guide for Evaluating the Interface Design of Information Resources</t>
  </si>
  <si>
    <t>CyberAge</t>
  </si>
  <si>
    <t>CyberAge Books</t>
  </si>
  <si>
    <t>COMPUTERS / Human-Computer Interaction (HCI)</t>
  </si>
  <si>
    <t>QA76.9.H85 H42 1999eb</t>
  </si>
  <si>
    <t>Human-computer interaction.,User interfaces (Computer systems)</t>
  </si>
  <si>
    <t>Head, Alison J.</t>
  </si>
  <si>
    <t>Languages From the World of the Bible</t>
  </si>
  <si>
    <t>RELIGION / Biblical Reference / Language Study</t>
  </si>
  <si>
    <t>PJ25 .L36 2012eb</t>
  </si>
  <si>
    <t>Middle Eastern literature--Relation to the New Testament.,Middle Eastern literature--Relation to the Old Testament.,Middle Eastern philology.,Semitic philology.</t>
  </si>
  <si>
    <t>Gzella, Holger</t>
  </si>
  <si>
    <t>Invision Power Board 2: A User Guide</t>
  </si>
  <si>
    <t>COMPUTERS / System Administration / Email Administration</t>
  </si>
  <si>
    <t>QA76.9.B84 M98 2005</t>
  </si>
  <si>
    <t>Computer bulletin boards.</t>
  </si>
  <si>
    <t>Mytton, David.</t>
  </si>
  <si>
    <t>Zone System</t>
  </si>
  <si>
    <t>Step by Step Guide for Photographers</t>
  </si>
  <si>
    <t>Amherst Media, Inc.</t>
  </si>
  <si>
    <t>PHOTOGRAPHY / Techniques / Darkroom</t>
  </si>
  <si>
    <t>TR591 .L38 2002</t>
  </si>
  <si>
    <t>Zone system (Photography)</t>
  </si>
  <si>
    <t>Lav, Brian.</t>
  </si>
  <si>
    <t>Traditional Photographic Effects with Adobe Photoshop</t>
  </si>
  <si>
    <t>COMPUTERS / Digital Media / Photography</t>
  </si>
  <si>
    <t>TR267</t>
  </si>
  <si>
    <t>Computer graphics.</t>
  </si>
  <si>
    <t>Perkins, Michelle.-Grant, Paul.</t>
  </si>
  <si>
    <t>Professional Digital Photography</t>
  </si>
  <si>
    <t>Techniques for Lighting, Shooting, and Image Editing</t>
  </si>
  <si>
    <t>PHOTOGRAPHY / General</t>
  </si>
  <si>
    <t>TR267 .M66 2002</t>
  </si>
  <si>
    <t>Image processing--Digital techniques--Handbooks, manuals, etc.,Images, Photographic--Data processing--Handbooks, manuals, etc.,Photography--Digital techniques--Handbooks, manuals, etc.</t>
  </si>
  <si>
    <t>Montizambert, Dave.</t>
  </si>
  <si>
    <t>Professional Digital Imaging for Wedding and Portrait Photographers</t>
  </si>
  <si>
    <t>TR819</t>
  </si>
  <si>
    <t>Image processing--Digital techniques.,Photography--Digital techniques.,Portrait photography.,Wedding photography.</t>
  </si>
  <si>
    <t>Rice, Patrick.</t>
  </si>
  <si>
    <t>ACT Made Simple</t>
  </si>
  <si>
    <t>An Easy-To-Read Primer on Acceptance and Commitment Therapy</t>
  </si>
  <si>
    <t>New Harbinger Publications</t>
  </si>
  <si>
    <t>PSYCHOLOGY / Clinical Psychology</t>
  </si>
  <si>
    <t>RC489.A32 H37 2009eb</t>
  </si>
  <si>
    <t>Acceptance and commitment therapy.</t>
  </si>
  <si>
    <t>Harris, Russ</t>
  </si>
  <si>
    <t>The New Harbinger Made Simple Series</t>
  </si>
  <si>
    <t>The Philosophy of Human Rights</t>
  </si>
  <si>
    <t>Contemporary Controversies</t>
  </si>
  <si>
    <t>JC571 .P478 2012eb</t>
  </si>
  <si>
    <t>Human rights--Philosophy.</t>
  </si>
  <si>
    <t>Heilinger, Jan-Christoph.-Ernst, Gerhard</t>
  </si>
  <si>
    <t>Self-harm and Young People</t>
  </si>
  <si>
    <t>PSYCHOLOGY / Mental Illness</t>
  </si>
  <si>
    <t>RJ506.S44</t>
  </si>
  <si>
    <t>Self-destructive behavior in adolescence.,Self-destructive behavior in adolescence--Prevention.,Self-destructive behavior in children.,Self-destructive behavior in children--Prevention.,Self-destructive behavior.,Self-destructive behavior--Prevention.,Self-mutilation.,Self-mutilation--Prevention.,Young adults--Suicidal behavior.</t>
  </si>
  <si>
    <t>Nuclear Energy Debate</t>
  </si>
  <si>
    <t>TECHNOLOGY &amp; ENGINEERING / Power Resources / Nuclear</t>
  </si>
  <si>
    <t>TK9148</t>
  </si>
  <si>
    <t>Energy policy--Australia.,Nuclear energy--Australia.,Nuclear industry--Australia.,Uranium mines and mining--Australia.,Uranium--Australia.</t>
  </si>
  <si>
    <t>Raised by the Church</t>
  </si>
  <si>
    <t>Growing up in New York City's Catholic Orphanages</t>
  </si>
  <si>
    <t>BIOGRAPHY &amp; AUTOBIOGRAPHY / Religious</t>
  </si>
  <si>
    <t>HV995.N49 R64 2012eb</t>
  </si>
  <si>
    <t>Children--Institutional care--New York (State)--New York.,Church work with orphans--Catholic Church.,Orphanages--New York (State)--New York.,Orphans--New York (State)--New York--Biography.</t>
  </si>
  <si>
    <t>Rohs, Edward-Estrine, Judith.</t>
  </si>
  <si>
    <t>The Reparations Controversy</t>
  </si>
  <si>
    <t>The Jewish State and German Money in the Shadow of the Holocaust 1951-1952</t>
  </si>
  <si>
    <t>D819.G3 S53 2011eb</t>
  </si>
  <si>
    <t>Holocaust, Jewish (1939-1945)--Reparations.,Holocaust, Jewish (1939-1945)--Reparations--Sources.</t>
  </si>
  <si>
    <t>Sharet, YaÊ»akÌ£ov.</t>
  </si>
  <si>
    <t>The Art of Infrared Photography</t>
  </si>
  <si>
    <t>TR755 .P33 1998eb</t>
  </si>
  <si>
    <t>Infrared photography.</t>
  </si>
  <si>
    <t>Paduano, Joseph.</t>
  </si>
  <si>
    <t>The Art of Color Infrared Photography</t>
  </si>
  <si>
    <t>TR755 .B44 2002eb</t>
  </si>
  <si>
    <t>Color photography.,Infrared photography.</t>
  </si>
  <si>
    <t>Begleiter, Steven.</t>
  </si>
  <si>
    <t>The Art and Business of Photo Editing</t>
  </si>
  <si>
    <t>Selecting and Evaluating Images for Publication</t>
  </si>
  <si>
    <t>PHOTOGRAPHY / Photojournalism</t>
  </si>
  <si>
    <t>TR179 .S55 2001</t>
  </si>
  <si>
    <t>Photographs--Trimming, mounting, etc.,Photojournalism.</t>
  </si>
  <si>
    <t>Shepherd, Bob.</t>
  </si>
  <si>
    <t>Mathematics Education</t>
  </si>
  <si>
    <t>A Numerical Landscape</t>
  </si>
  <si>
    <t>MATHEMATICS / Study &amp; Teaching</t>
  </si>
  <si>
    <t>QA10.7 .A35 2009eb</t>
  </si>
  <si>
    <t>Mathematics--Social aspects.,Mathematics--Study and teaching--Social aspects.,Numeracy--Social aspects.</t>
  </si>
  <si>
    <t>Adjiage, Robert.-Pluvinage, FrancÌ§ois.</t>
  </si>
  <si>
    <t>Immunologic Adjuvant Research</t>
  </si>
  <si>
    <t>QR187.3 .I46 2009eb</t>
  </si>
  <si>
    <t>Immunological adjuvants.</t>
  </si>
  <si>
    <t>Benvenuto, Antonio</t>
  </si>
  <si>
    <t>Hydrogen-based Biosynthesis</t>
  </si>
  <si>
    <t>QR82.Z9 V65 2009eb</t>
  </si>
  <si>
    <t>Hydrogen bacteria.,Microbial biotechnology.</t>
  </si>
  <si>
    <t>Volova, T. G.</t>
  </si>
  <si>
    <t>Handbook of Zeolites</t>
  </si>
  <si>
    <t>Structure, Properties and Applications</t>
  </si>
  <si>
    <t>QE391.Z5 H36 2009eb</t>
  </si>
  <si>
    <t>Porous materials.,Zeolites--Industrial applications.,Zeolites--Structure.</t>
  </si>
  <si>
    <t>Wong, T. W.</t>
  </si>
  <si>
    <t>Global Nuclear Energy Partnership</t>
  </si>
  <si>
    <t>TD899.R3 G59 2009eb</t>
  </si>
  <si>
    <t>Radioactive waste disposal--United States.,Radioactive waste repositories--United States.,Reactor fuel reprocessing--Waste disposal--United States.,Spent reactor fuels--Storage--United States.</t>
  </si>
  <si>
    <t>Bernstein, Alan N.</t>
  </si>
  <si>
    <t>The Best of Enemies</t>
  </si>
  <si>
    <t>Race and Redemption in the New South</t>
  </si>
  <si>
    <t>University of North Carolina Press</t>
  </si>
  <si>
    <t>The University of North Carolina Press</t>
  </si>
  <si>
    <t>E185.61 .D29 2007eb</t>
  </si>
  <si>
    <t>Civil rights workers--Southern States--Case studies.,Social change--Southern States--Case studies.</t>
  </si>
  <si>
    <t>Davidson, Osha Gray.</t>
  </si>
  <si>
    <t>Under a Bad Sign</t>
  </si>
  <si>
    <t>Criminal Self-Representation in African American Popular Culture</t>
  </si>
  <si>
    <t>E185.M898 2011</t>
  </si>
  <si>
    <t>African American arts.,African Americans in popular culture.,Crime in popular culture--United States.,Popular culture--United States.</t>
  </si>
  <si>
    <t>Munby, Jonathan.</t>
  </si>
  <si>
    <t>Seeing Double</t>
  </si>
  <si>
    <t>Baudelaire's Modernity</t>
  </si>
  <si>
    <t>PQ2191.Z5M398 2011</t>
  </si>
  <si>
    <t>Meltzer, FrancÌ§oise.</t>
  </si>
  <si>
    <t>Weather</t>
  </si>
  <si>
    <t>Activities for 3-5 Year Olds</t>
  </si>
  <si>
    <t>QC981.5 .Q85 1998eb</t>
  </si>
  <si>
    <t>Weather--Study and teaching (Elementary)</t>
  </si>
  <si>
    <t>Quin, Caroline.-Pearce, Sue</t>
  </si>
  <si>
    <t>Hungary in World War II</t>
  </si>
  <si>
    <t>Caught in the Cauldron</t>
  </si>
  <si>
    <t>HISTORY / Europe / Austria &amp; Hungary</t>
  </si>
  <si>
    <t>D765.56 .C67 2011eb</t>
  </si>
  <si>
    <t>World War, 1939-1945--Hungary.</t>
  </si>
  <si>
    <t>Cornelius, Deborah S.</t>
  </si>
  <si>
    <t>World War II: the Global, Human, and Ethical Dimension</t>
  </si>
  <si>
    <t>Annuaire EuropeÌen</t>
  </si>
  <si>
    <t>European yearbook</t>
  </si>
  <si>
    <t>European federation.</t>
  </si>
  <si>
    <t>Go Tell the Sun</t>
  </si>
  <si>
    <t>PR9408.B683 M65 2011eb</t>
  </si>
  <si>
    <t>Molefhe, Wame.</t>
  </si>
  <si>
    <t>Kenya, Will You Marry Me?</t>
  </si>
  <si>
    <t>PR9381.9.I36 K46 2011eb</t>
  </si>
  <si>
    <t>Cameroonian literature.</t>
  </si>
  <si>
    <t>Melamine and Other Problematic Food Carcinogens</t>
  </si>
  <si>
    <t>BUSINESS &amp; ECONOMICS / Infrastructure</t>
  </si>
  <si>
    <t>RC268.7.F6 V57 2009eb</t>
  </si>
  <si>
    <t>Carcinogens.,Food additives--Carcinogenicity.,Food--Toxicology.</t>
  </si>
  <si>
    <t>Viroj Wiwanitkit.</t>
  </si>
  <si>
    <t>New Topics in Mathematical Physics Research</t>
  </si>
  <si>
    <t>SCIENCE / Physics / Mathematical &amp; Computational</t>
  </si>
  <si>
    <t>QC20.8 .N50 2009eb</t>
  </si>
  <si>
    <t>Mathematical physics--Research.</t>
  </si>
  <si>
    <t>Benton, Charles V.</t>
  </si>
  <si>
    <t>New Research on Personality Disorders</t>
  </si>
  <si>
    <t>RC554 .N49 2008eb</t>
  </si>
  <si>
    <t>Personality disorders.</t>
  </si>
  <si>
    <t>Olsen, Sarah N.-Halvorsen, Ida V.</t>
  </si>
  <si>
    <t>Models and Simulation of Deposition Processes with CVD Apparatus</t>
  </si>
  <si>
    <t>Theory and Applications</t>
  </si>
  <si>
    <t>TECHNOLOGY &amp; ENGINEERING / Electronics / Semiconductors</t>
  </si>
  <si>
    <t>TS695 .G45 2009eb</t>
  </si>
  <si>
    <t>Chemical vapor deposition--Computer simulation.,Chemical vapor deposition--Mathematical models.</t>
  </si>
  <si>
    <t>Geiser, Juergen.</t>
  </si>
  <si>
    <t>Military Satellites</t>
  </si>
  <si>
    <t>Issues, Goals and Challenges</t>
  </si>
  <si>
    <t>TECHNOLOGY &amp; ENGINEERING / Mobile &amp; Wireless Communications</t>
  </si>
  <si>
    <t>TL796 .M49 2009eb</t>
  </si>
  <si>
    <t>Artificial satellites.,Military surveillance--United States.</t>
  </si>
  <si>
    <t>Chirila, Abel.</t>
  </si>
  <si>
    <t>Defense, Security and Strategy Series</t>
  </si>
  <si>
    <t>MgBâ‚‚ Diboride (MgB2) Superconductor Research</t>
  </si>
  <si>
    <t>TECHNOLOGY &amp; ENGINEERING / Superconductors &amp; Superconductivity</t>
  </si>
  <si>
    <t>QC611.98.H54 M45 2009eb</t>
  </si>
  <si>
    <t>High temperature superconductivity.,High temperature superconductors.,Magnesium diboride.</t>
  </si>
  <si>
    <t>Fukuda, Kouki.-Suzuki, Souta.</t>
  </si>
  <si>
    <t>Methadone-related Overdose Deaths</t>
  </si>
  <si>
    <t>Factors and Prevention Measures</t>
  </si>
  <si>
    <t>SELF-HELP / Substance Abuse &amp; Addictions / Drugs</t>
  </si>
  <si>
    <t>RC568.M4 M475 2009eb</t>
  </si>
  <si>
    <t>Methadone hydrochloride--Overdose.,Methadone maintenance.</t>
  </si>
  <si>
    <t>Lejeune, Maxime G.</t>
  </si>
  <si>
    <t>Alcohol and Drug Abuse Series</t>
  </si>
  <si>
    <t>A Chronology of the Life of Sir Arthur Conan Doyle</t>
  </si>
  <si>
    <t>May 22nd 1859 to July 7th 1930: a Detailed Account of the Life and Times of the Creator of Sherlock Holmes</t>
  </si>
  <si>
    <t>PR4623</t>
  </si>
  <si>
    <t>Authors, English--19th century--Chronology.,Authors, English--20th century--Chronology.</t>
  </si>
  <si>
    <t>Pugh, Brian W.</t>
  </si>
  <si>
    <t>African American Almanac</t>
  </si>
  <si>
    <t>400 Years of Triumph, Courage and Excellence</t>
  </si>
  <si>
    <t>SOCIAL SCIENCE / Ethnic Studies / African American Studies</t>
  </si>
  <si>
    <t>E185 .B8127 2012</t>
  </si>
  <si>
    <t>African Americans--Biography.,African Americans--History.,African Americans--Intellectual life.,African Americans--Social life and customs.</t>
  </si>
  <si>
    <t>Bracks, Lean'tin.-Smith, Jessie Carney.</t>
  </si>
  <si>
    <t>Mastering Precepting: A Nurseâ€™s Handbook for Success</t>
  </si>
  <si>
    <t>RT74.7 .M37 2012eb</t>
  </si>
  <si>
    <t>Nursing--Study and teaching (Preceptorship)</t>
  </si>
  <si>
    <t>Ulrich, Beth Tamplet.-Sigma Theta Tau International.</t>
  </si>
  <si>
    <t>Messages</t>
  </si>
  <si>
    <t>The Communication Skills Book</t>
  </si>
  <si>
    <t>SELF-HELP / Communication &amp; Social Skills</t>
  </si>
  <si>
    <t>P90 .M253 2009eb</t>
  </si>
  <si>
    <t>Communication.</t>
  </si>
  <si>
    <t>McKay, Matthew.-Fanning, Patrick.-Davis, Martha</t>
  </si>
  <si>
    <t>Essentials of Oral Medicine</t>
  </si>
  <si>
    <t>RC815 .E87 2002eb</t>
  </si>
  <si>
    <t>Oral medicine.</t>
  </si>
  <si>
    <t>Truelove, Edmond L.-Silverman, Sol-Eversole, Lewis R.</t>
  </si>
  <si>
    <t>Atlas of Cosmetic and Reconstructive Periodontal Surgery</t>
  </si>
  <si>
    <t>MEDICAL / Dentistry / Periodontics</t>
  </si>
  <si>
    <t>RK361 .C57 2009</t>
  </si>
  <si>
    <t>Periodontium--Surgery--Atlases.,Surgery, Plastic--Atlases.</t>
  </si>
  <si>
    <t>Cohen, Edward S.</t>
  </si>
  <si>
    <t>Professional Strategies and Techniques for Digital Photographers</t>
  </si>
  <si>
    <t>TR267 .C63 2004eb</t>
  </si>
  <si>
    <t>Commercial photography.,Image processing--Digital techniques.,Photography--Digital techniques.,Photography--Marketing.</t>
  </si>
  <si>
    <t>Coates, Bob</t>
  </si>
  <si>
    <t>High Impact Portrait Photography</t>
  </si>
  <si>
    <t>Creative Techniques for Dramatic, Fashion-inspired Portraits</t>
  </si>
  <si>
    <t>PHOTOGRAPHY / Subjects &amp; Themes / Celebrity</t>
  </si>
  <si>
    <t>TR575 .B79 2002eb</t>
  </si>
  <si>
    <t>Glamour photography--Handbooks, manuals, etc.,Portrait photography--Handbooks, manuals, etc.</t>
  </si>
  <si>
    <t>Brystan, Lori.</t>
  </si>
  <si>
    <t>Dramatic Black and White Photography</t>
  </si>
  <si>
    <t>Shooting and Darkroom Techniques</t>
  </si>
  <si>
    <t>PHOTOGRAPHY / Techniques / Equipment</t>
  </si>
  <si>
    <t>TR145 .H28 2000eb</t>
  </si>
  <si>
    <t>Photography, Artistic.,Photography.</t>
  </si>
  <si>
    <t>Hayward, J. D.</t>
  </si>
  <si>
    <t>Color Correction and Enhancement with Adobe Photoshop</t>
  </si>
  <si>
    <t>TR310 .P475 2004eb</t>
  </si>
  <si>
    <t>Photography--Digital techniques.,Photography--Retouching.</t>
  </si>
  <si>
    <t>Perkins, Michelle.</t>
  </si>
  <si>
    <t>The Norns in Old Norse Mythology</t>
  </si>
  <si>
    <t>RELIGION / History</t>
  </si>
  <si>
    <t>BL860 .B44 2011eb</t>
  </si>
  <si>
    <t>Mythology, Norse.</t>
  </si>
  <si>
    <t>Bek-Pederson, Karen.</t>
  </si>
  <si>
    <t>Marine Phytoplankton</t>
  </si>
  <si>
    <t>QK934 .M355 2009eb</t>
  </si>
  <si>
    <t>Marine phytoplankton.</t>
  </si>
  <si>
    <t>Munger, Samuel P.-Kersey, William T.</t>
  </si>
  <si>
    <t>Oceanography and Ocean Engineering Series</t>
  </si>
  <si>
    <t>Mannose-binding Lectin in the Innate Immune System</t>
  </si>
  <si>
    <t>MEDICAL / Immunology</t>
  </si>
  <si>
    <t>QP552.L42 D44 2009eb</t>
  </si>
  <si>
    <t>Lectins.,Mannose.,Natural immunity.</t>
  </si>
  <si>
    <t>De Messias-Reason, Iara.-Boldt, Angelica B. W.</t>
  </si>
  <si>
    <t>Management of the Environmental Impact at Airport Operations</t>
  </si>
  <si>
    <t>TRANSPORTATION / Aviation / Commercial</t>
  </si>
  <si>
    <t>TL725.3.N6 V57 2009eb</t>
  </si>
  <si>
    <t>Airport noise.,Airports--Environmental aspects.,Noise control.</t>
  </si>
  <si>
    <t>Visser, H. G.-Wijnen, R. A. A.-Hebly, S. J.</t>
  </si>
  <si>
    <t>Malaria Resistance or Susceptibility in Red Cells Disorders</t>
  </si>
  <si>
    <t>HEALTH &amp; FITNESS / Diseases / Contagious</t>
  </si>
  <si>
    <t>QR201.M3 F39 2009eb</t>
  </si>
  <si>
    <t>Hemoglobin polymorphisms.,Hemoglobinopathy.,Malaria.,Plasmodium falciparum.</t>
  </si>
  <si>
    <t>Faye, Farba Balle Khodia.</t>
  </si>
  <si>
    <t>Liver Transplantation: Rejection, Therapy and Post-Operative Complications</t>
  </si>
  <si>
    <t>Nova Biomedical</t>
  </si>
  <si>
    <t>MEDICAL / Hepatology</t>
  </si>
  <si>
    <t>RD546 .L59 2009eb</t>
  </si>
  <si>
    <t>Liver--Transplantation.</t>
  </si>
  <si>
    <t>Knudsen, Kirsten H.</t>
  </si>
  <si>
    <t>Industrial Pollution Including Oil Spills</t>
  </si>
  <si>
    <t>TD196.O73 I53 2009eb</t>
  </si>
  <si>
    <t>Factory and trade waste--Environmental aspects.,Oil spills--Environmental aspects.,Organic compounds--Environmental aspects.</t>
  </si>
  <si>
    <t>De Lorne, William.-Newbury, Harry.</t>
  </si>
  <si>
    <t>Air, Water and Soil Pollution Science and Technology Series</t>
  </si>
  <si>
    <t>Youth Gambling</t>
  </si>
  <si>
    <t>The Hidden Addiction</t>
  </si>
  <si>
    <t>RJ506.O25 Y68 2011eb</t>
  </si>
  <si>
    <t>Adolescent psychology.,Compulsive gambling--Treatment.,Teenage gamblers--Psychology.,Youth--Gambling.</t>
  </si>
  <si>
    <t>Merrick, Joav-Shek, Daniel T. L.-Derevensky, Jeffrey L.</t>
  </si>
  <si>
    <t>Languages of Science in the Eighteenth Century</t>
  </si>
  <si>
    <t>Q127.E8 L36 2011eb</t>
  </si>
  <si>
    <t>Science--Europe--History--18th century.,Scientists--Europe--Intellectual life--18th century.,Technical writing--Europe--History--18th century.</t>
  </si>
  <si>
    <t>Gunnarsson, Britt-Louise.</t>
  </si>
  <si>
    <t>One Hundred Years at the Intersection of Chemistry and Physics</t>
  </si>
  <si>
    <t>The Fritz Haber Institute of the Max Planck Society 1911-2011</t>
  </si>
  <si>
    <t>QD558.2.G32 M396 2011eb</t>
  </si>
  <si>
    <t>Electrochemistry--Research--Germany--History.,Physics--Research--Germany--History.</t>
  </si>
  <si>
    <t>James, Jeremiah.</t>
  </si>
  <si>
    <t>Formational Units in Sign Languages</t>
  </si>
  <si>
    <t>P117 .F68 2011eb</t>
  </si>
  <si>
    <t>Grammar, Comparative and general--Phonology, Comparative.,Sign language--Phonology, Comparative.</t>
  </si>
  <si>
    <t>Hulst, Harry van der.-Channon, Rachel</t>
  </si>
  <si>
    <t>Sign Language Typology</t>
  </si>
  <si>
    <t>The Digital Condition</t>
  </si>
  <si>
    <t>Class and Culture in the Information Network</t>
  </si>
  <si>
    <t>HM851 .W553 2011eb</t>
  </si>
  <si>
    <t>Computers--Social aspects.,Digital divide.,Information superhighway--Social aspects.,Information technology--Social aspects.</t>
  </si>
  <si>
    <t>Wilkie, Robert.</t>
  </si>
  <si>
    <t>Mornings at the Stanton Street Shul</t>
  </si>
  <si>
    <t>A Summer on the Lower East Side</t>
  </si>
  <si>
    <t>BM225.N52 S733 2011eb</t>
  </si>
  <si>
    <t>Jews--New York (State)--New York.,Synagogues--New York (State)--New York.</t>
  </si>
  <si>
    <t>Boyarin, Jonathan.</t>
  </si>
  <si>
    <t>A Guide to the ICDR International Arbitration Rules</t>
  </si>
  <si>
    <t>KZ6115 .G87 2011eb</t>
  </si>
  <si>
    <t>International commercial arbitration.</t>
  </si>
  <si>
    <t>Gusy, Martin F.-Schwarz, Franz T.-Hosking, James M.</t>
  </si>
  <si>
    <t>Digital Media Contracts</t>
  </si>
  <si>
    <t>LAW / Military</t>
  </si>
  <si>
    <t>KD2880 .W55 2011eb</t>
  </si>
  <si>
    <t>Contracts--Great Britain.,Digital media--Law and legislation--Great Britain.,Digital media--Law and legislation--Great Britain--Forms.,License agreements--Great Britain.,License agreements--Great Britain--Forms.</t>
  </si>
  <si>
    <t>Williams, Alan P.-Lee, Andrew.-Calow, Duncan.</t>
  </si>
  <si>
    <t>Protein Biosynthesis</t>
  </si>
  <si>
    <t>SCIENCE / Life Sciences / Cell Biology</t>
  </si>
  <si>
    <t>QP551 .P69568 2009eb</t>
  </si>
  <si>
    <t>Proteins--Synthesis.</t>
  </si>
  <si>
    <t>Esterhouse, Toma E.-Petrinos, Lado B.</t>
  </si>
  <si>
    <t>Progress in Monomers, Oligomers, Polymers, Composites and Nanocomposites</t>
  </si>
  <si>
    <t>SCIENCE / Chemistry / Organic</t>
  </si>
  <si>
    <t>TA455.P58 P766 2009eb</t>
  </si>
  <si>
    <t>Composite materials.,Nanostructured materials.,Polymers.</t>
  </si>
  <si>
    <t>Pielichowski, Jan.-Zaikov, G. E.-Pethrick, R. A.</t>
  </si>
  <si>
    <t>Progress in Chemistry and Biochemistry</t>
  </si>
  <si>
    <t>Kinetics, Thermodynamics, Synthesis, Properties and Applications: a Festschrift in Honor of the 75th Birthday of Professor Gennady E. Zaikov</t>
  </si>
  <si>
    <t>QD381 .P695 2009eb</t>
  </si>
  <si>
    <t>Adhesion.,Composite materials.,Nanostructured materials.,Nanostructured materials--Thermal properties.,Polymeric composites.,Polymers.</t>
  </si>
  <si>
    <t>Zaikov, G. E.-Pearce, Eli M.</t>
  </si>
  <si>
    <t>Progress in Chaos and Complexity Research</t>
  </si>
  <si>
    <t>SCIENCE / Chaotic Behavior in Systems</t>
  </si>
  <si>
    <t>Q172.5.C45 P76 2009eb</t>
  </si>
  <si>
    <t>Chaotic behavior in systems.,Stochastic processes.,System analysis.</t>
  </si>
  <si>
    <t>Sala, Nicoletta.-Orsucci, Franco.</t>
  </si>
  <si>
    <t>Primatology</t>
  </si>
  <si>
    <t>Theories, Methods and Research</t>
  </si>
  <si>
    <t>SCIENCE / Life Sciences / Zoology / Primatology</t>
  </si>
  <si>
    <t>QL776 .P737 2009eb</t>
  </si>
  <si>
    <t>Animal communication.,Primates.</t>
  </si>
  <si>
    <t>Potocki, Emil.-Krasinski, Juliusz.</t>
  </si>
  <si>
    <t>Animal Science, Issues and Professions Series</t>
  </si>
  <si>
    <t>Pregnancy Protein Research</t>
  </si>
  <si>
    <t>MEDICAL / Embryology</t>
  </si>
  <si>
    <t>QP552.P65 P727 2009eb</t>
  </si>
  <si>
    <t>Pregnancy proteins.</t>
  </si>
  <si>
    <t>O'Leary, Marie.-Arnett, John</t>
  </si>
  <si>
    <t>Powder Metallurgy Research Trends</t>
  </si>
  <si>
    <t>TN695 .P674 2009eb</t>
  </si>
  <si>
    <t>Powder metallurgy.</t>
  </si>
  <si>
    <t>Dijk, Julia H. Van.-Smit, Lotte J.</t>
  </si>
  <si>
    <t>Polyhedral Boron Hydrides in Use</t>
  </si>
  <si>
    <t>Current Status and Perspectives</t>
  </si>
  <si>
    <t>RC271.R3 S585 2009eb</t>
  </si>
  <si>
    <t>Boron compounds.,Boron-neutron capture therapy.</t>
  </si>
  <si>
    <t>Sivaev, Igor B.-Bregadze, Vladimir I.</t>
  </si>
  <si>
    <t>Poly (vinyl Alcohol)(pva)-based Polymer Membranes</t>
  </si>
  <si>
    <t>TP1180.V48 P575 2009eb</t>
  </si>
  <si>
    <t>Polyamide membranes.,Polymers.,Polyvinyl alcohol.</t>
  </si>
  <si>
    <t>Patachia, Silvia.</t>
  </si>
  <si>
    <t>Plastic Recycling</t>
  </si>
  <si>
    <t>TD794.5 .M366 2009eb</t>
  </si>
  <si>
    <t>Recycling (Waste, etc.)</t>
  </si>
  <si>
    <t>Manrich, Sati.-Santos, AmeÌlia S. F.</t>
  </si>
  <si>
    <t>Identification and Treatment of Alcohol Dependency</t>
  </si>
  <si>
    <t>M&amp;K Update Ltd.</t>
  </si>
  <si>
    <t>M&amp;K Update Ltd</t>
  </si>
  <si>
    <t>RC565 .I34 2008eb</t>
  </si>
  <si>
    <t>Alcoholism--Diagnosis.,Alcoholism--Treatment.</t>
  </si>
  <si>
    <t>Martin, Colin R.</t>
  </si>
  <si>
    <t>Deep Vein Thrombosis and Pulmonary Embolism</t>
  </si>
  <si>
    <t>A Guide for Practitioners</t>
  </si>
  <si>
    <t>RC776.P85 .B53 2009eb</t>
  </si>
  <si>
    <t>Pulmonary embolism.,Thromboembolism.,Thrombophlebitis.</t>
  </si>
  <si>
    <t>Blann, Andrew D.</t>
  </si>
  <si>
    <t>Self-assessment in Axial Skeleton Musculoskeletal Trauma X-rays</t>
  </si>
  <si>
    <t>RC925.7 .S35 2009eb</t>
  </si>
  <si>
    <t>Musculoskeletal system--Radiography.,Musculoskeletal system--Wounds and injuries--Diagnosis.</t>
  </si>
  <si>
    <t>Sakthivel-Wainford, Karen.</t>
  </si>
  <si>
    <t>Haemodynamic Monitoring and Manipulation</t>
  </si>
  <si>
    <t>An Easy Learning Guide</t>
  </si>
  <si>
    <t>MEDICAL / Physiology</t>
  </si>
  <si>
    <t>RC670.5.H45 F69 2009eb</t>
  </si>
  <si>
    <t>Ambulatory blood pressure monitoring--Problems, exercises, etc.,Hemodynamics--Physiology--Problems, exercises, etc.</t>
  </si>
  <si>
    <t>Foxall, Fiona.</t>
  </si>
  <si>
    <t>Easy Learning Guides</t>
  </si>
  <si>
    <t>A Guide to Research for Podiatrists</t>
  </si>
  <si>
    <t>RD563 .G85 2007eb</t>
  </si>
  <si>
    <t>Podiatry--Research--Methodology.</t>
  </si>
  <si>
    <t>Campbell, Jackie.</t>
  </si>
  <si>
    <t>Ophthalmic Study Guide for Nurses and Health Professionals</t>
  </si>
  <si>
    <t>RE952.9 .O64 2009eb</t>
  </si>
  <si>
    <t>Optometry--Handbooks, manuals, etc.</t>
  </si>
  <si>
    <t>Macfarlane, Mandy.-Tillotson, Julie.-Field, Dorothy.</t>
  </si>
  <si>
    <t>Routine Blood Results Explained</t>
  </si>
  <si>
    <t>RB45.15 .B53 2007eb</t>
  </si>
  <si>
    <t>Blood--Analysis--Handbooks, manuals, etc.,Hematology--Handbooks, manuals, etc.</t>
  </si>
  <si>
    <t>Blann, Andrew.</t>
  </si>
  <si>
    <t>Paediatric Minor Emergencies</t>
  </si>
  <si>
    <t>RJ370</t>
  </si>
  <si>
    <t>Pediatric emergencies.</t>
  </si>
  <si>
    <t>Bethel, James.</t>
  </si>
  <si>
    <t>Self-assessment in Paediatric Musculoskeletal Trauma X-rays</t>
  </si>
  <si>
    <t>RC930.5 .S25 2008eb</t>
  </si>
  <si>
    <t>Musculoskeletal system--Radiography.,Musculoskeletal system--Wounds and injuries.</t>
  </si>
  <si>
    <t>Nurses and Their Patients</t>
  </si>
  <si>
    <t>Informing Practice Through Psychodynamic Insights</t>
  </si>
  <si>
    <t>MEDICAL / Nursing / Nurse &amp; Patient</t>
  </si>
  <si>
    <t>RT86.3 .N87 2009eb</t>
  </si>
  <si>
    <t>Paget, Mary.-Rafferty, Mic.-Tew, Louise.</t>
  </si>
  <si>
    <t>The Management of COPD in Primary and Secondary Care</t>
  </si>
  <si>
    <t>RC776.O3 M36 2007eb</t>
  </si>
  <si>
    <t>Lungs--Diseases, Obstructive--Treatment.</t>
  </si>
  <si>
    <t>Lynes, Dave</t>
  </si>
  <si>
    <t>Nutrition for Children</t>
  </si>
  <si>
    <t>A No-nonsense Guide for Parents</t>
  </si>
  <si>
    <t>MEDICAL / Nursing / Nutrition</t>
  </si>
  <si>
    <t>RJ206 .B66 2008eb</t>
  </si>
  <si>
    <t>Children--Nutrition.,Children--Nutrition--Requirements.</t>
  </si>
  <si>
    <t>Boobier, Wyndham.</t>
  </si>
  <si>
    <t>Primary Care Case Studies for Nurse Practitioners</t>
  </si>
  <si>
    <t>RT90.7 .B87 2008eb</t>
  </si>
  <si>
    <t>Primary nursing--Case studies.</t>
  </si>
  <si>
    <t>Burke, Lydia.</t>
  </si>
  <si>
    <t>The Management of Pain in Older People</t>
  </si>
  <si>
    <t>A Workbook</t>
  </si>
  <si>
    <t>RB127 .S3 2007eb</t>
  </si>
  <si>
    <t>Older people--Care.,Pain in old age.</t>
  </si>
  <si>
    <t>Schofield, Pat.-Black, Catherine.-Aveyard, Barry.</t>
  </si>
  <si>
    <t>Research Issues in Health and Social Care</t>
  </si>
  <si>
    <t>MEDICAL / Health Policy</t>
  </si>
  <si>
    <t>R850 .C69 2009</t>
  </si>
  <si>
    <t>Medicine--Research.,Public health--Research.,Social service--Research.</t>
  </si>
  <si>
    <t>Cowan, David</t>
  </si>
  <si>
    <t>Issues in Ophthalmic Practice</t>
  </si>
  <si>
    <t>Current and Future Challenges</t>
  </si>
  <si>
    <t>RE46 .I87 2009eb</t>
  </si>
  <si>
    <t>Ophthalmology.</t>
  </si>
  <si>
    <t>Watkinson, Sue.</t>
  </si>
  <si>
    <t>The Clinician's Guide to Chronic Disease Management for Long-term Conditions</t>
  </si>
  <si>
    <t>A Cognitive-behavioural Approach</t>
  </si>
  <si>
    <t>MEDICAL / Long-Term Care</t>
  </si>
  <si>
    <t>RC108</t>
  </si>
  <si>
    <t>Adaptability (Psychology),Chronic diseases--Psychological aspects.,Cognitive therapy.</t>
  </si>
  <si>
    <t>Furze, Gill.-Donnison, Jenny.-Lewin, Robert J. P.</t>
  </si>
  <si>
    <t>Self Assessment in Limb X-ray Interpretation</t>
  </si>
  <si>
    <t>Musculoskeletal Trauma Imaging of Appendicular Skeleton</t>
  </si>
  <si>
    <t>MEDICAL / Physical Medicine &amp; Rehabilitation</t>
  </si>
  <si>
    <t>RD680 .S25 2006eb</t>
  </si>
  <si>
    <t>Diagnosis, Radioscopic.,Extremities (Anatomy)--Radiography.,Radiography, Medical.</t>
  </si>
  <si>
    <t>Nurse-facilitated Discharge From Hospital</t>
  </si>
  <si>
    <t>MEDICAL / Nursing / Management &amp; Leadership</t>
  </si>
  <si>
    <t>RA971.8 .N87 2007</t>
  </si>
  <si>
    <t>Hospitals--Admission and discharge.,Nurses.</t>
  </si>
  <si>
    <t>Lees, Liz</t>
  </si>
  <si>
    <t>Pre-teen and Teenage Pregnancy</t>
  </si>
  <si>
    <t>A Twenty-first Century Reality</t>
  </si>
  <si>
    <t>HEALTH &amp; FITNESS / Pregnancy &amp; Childbirth</t>
  </si>
  <si>
    <t>RG556.5 .P7 2007eb</t>
  </si>
  <si>
    <t>Teenage mothers.,Teenage parents.,Teenage pregnancy.</t>
  </si>
  <si>
    <t>Moir, James-Leishman, June L.</t>
  </si>
  <si>
    <t>Practical Prescribing for Musculoskeletal Practitioners</t>
  </si>
  <si>
    <t>RC925 .D39 2007eb</t>
  </si>
  <si>
    <t>Drugs--Prescribing.,Musculoskeletal system--Diseases--Chemotherapy.</t>
  </si>
  <si>
    <t>Dawson, Julie-Hennell, Sheena.</t>
  </si>
  <si>
    <t>Eye Emergencies</t>
  </si>
  <si>
    <t>The Practitioner's Guide</t>
  </si>
  <si>
    <t>RE48 .F54 2008eb</t>
  </si>
  <si>
    <t>Eye--Wounds and injuries.,Ophthalmologic emergencies--Handbooks, manuals, etc.</t>
  </si>
  <si>
    <t>Field, Dorothy.-Tillotson, Julie.</t>
  </si>
  <si>
    <t>Managing Intimacy and Emotions in Advanced Fertility Care</t>
  </si>
  <si>
    <t>The Future of Nursing and Midwifery Roles</t>
  </si>
  <si>
    <t>HEALTH &amp; FITNESS / Fertility &amp; Infertility</t>
  </si>
  <si>
    <t>RC889 .A45 2009</t>
  </si>
  <si>
    <t>Gynecologic nursing--Psychological aspects.,Holistic nursing.,Human reproductive technology--Psychological aspects.,Infertility, Female--Psychological aspects.,Midwifery--Psychological aspects.,Nurse and patient.</t>
  </si>
  <si>
    <t>Allan, Helen Therese.</t>
  </si>
  <si>
    <t>Improving Patient Outcomes</t>
  </si>
  <si>
    <t>A Resource for Ward Leaders</t>
  </si>
  <si>
    <t>MEDICAL / Nursing / Medical &amp; Surgical</t>
  </si>
  <si>
    <t>RT89 .W45 2007eb</t>
  </si>
  <si>
    <t>Hospital patients--Care.,Nursing services--Administration.,Outcome assessment (Medical care)</t>
  </si>
  <si>
    <t>Wells, Alison</t>
  </si>
  <si>
    <t>Nutritional Care of Older People</t>
  </si>
  <si>
    <t>MEDICAL / Nutrition</t>
  </si>
  <si>
    <t>RC952.5 .T39 2008eb</t>
  </si>
  <si>
    <t>Older people--Care.,Older people--Nutrition.</t>
  </si>
  <si>
    <t>Taylor, Amanda</t>
  </si>
  <si>
    <t>Skills for Caring</t>
  </si>
  <si>
    <t>Arterial Blood Gas Analysis</t>
  </si>
  <si>
    <t>MEDICAL / Allied Health Services / Respiratory Therapy</t>
  </si>
  <si>
    <t>RB45</t>
  </si>
  <si>
    <t>Arteries--Puncture.,Blood gases--Analysis.,Blood gases--Analysis--Problems, exercises, etc.</t>
  </si>
  <si>
    <t>Foxall, Fiona.-Blackburn, Helen.</t>
  </si>
  <si>
    <t>Issues in Heart Failure Nursing</t>
  </si>
  <si>
    <t>RC674 .I87 2006eb</t>
  </si>
  <si>
    <t>Heart failure--Nursing.</t>
  </si>
  <si>
    <t>Jones, Chris</t>
  </si>
  <si>
    <t>Sleep Deprivation</t>
  </si>
  <si>
    <t>Causes, Effects and Treatment</t>
  </si>
  <si>
    <t>HEALTH &amp; FITNESS / Sleep</t>
  </si>
  <si>
    <t>RC548 .S6345 2009eb</t>
  </si>
  <si>
    <t>Sleep deprivation.</t>
  </si>
  <si>
    <t>Fulke, Pedr.-Vaughan, Sior.</t>
  </si>
  <si>
    <t>Neuroscience Research Progress Series</t>
  </si>
  <si>
    <t>Physical Examination of the Heart and Circulation</t>
  </si>
  <si>
    <t>RC683 .P47 2009eb</t>
  </si>
  <si>
    <t>Cardiovascular system--Examination.,Heart--Examination.,Physical diagnosis.</t>
  </si>
  <si>
    <t>Perloff, Joseph K.</t>
  </si>
  <si>
    <t>Renal Cell Carcinoma</t>
  </si>
  <si>
    <t>RC280.K5 R464 2009eb</t>
  </si>
  <si>
    <t>Renal cell carcinoma.</t>
  </si>
  <si>
    <t>Campbell, Steven C.-Rini, Brian I.</t>
  </si>
  <si>
    <t>PDQ Epidemiology</t>
  </si>
  <si>
    <t>MEDICAL / Epidemiology</t>
  </si>
  <si>
    <t>RA651 .S77 2009eb</t>
  </si>
  <si>
    <t>Streiner, David L.-Norman, Geoffrey R.</t>
  </si>
  <si>
    <t>Advanced Therapy in Epilepsy</t>
  </si>
  <si>
    <t>RC372 .A38 2009eb</t>
  </si>
  <si>
    <t>Epilepsy.,Epilepsy--Diagnosis.,Epilepsy--Treatment.</t>
  </si>
  <si>
    <t>Wheless, James.-Brumback, Roger A.-Willmore, James.</t>
  </si>
  <si>
    <t>Textbook of Complete Dentures</t>
  </si>
  <si>
    <t>MEDICAL / Dentistry / Prosthodontics</t>
  </si>
  <si>
    <t>RK656</t>
  </si>
  <si>
    <t>Complete dentures--Textbooks.</t>
  </si>
  <si>
    <t>Rahn, Arthur O.-Plummer, Kevin D.-Ivanhoe, John R.-Heartwell, Charles M.</t>
  </si>
  <si>
    <t>Ingle's Endodontics 6</t>
  </si>
  <si>
    <t>MEDICAL / Dentistry / Endodontics</t>
  </si>
  <si>
    <t>RK351</t>
  </si>
  <si>
    <t>Baumgartner, J. Craig.-Ingle, John Ide-Bakland, Leif K.</t>
  </si>
  <si>
    <t>Burket's Oral Medicine</t>
  </si>
  <si>
    <t>RC815 .B83 2008eb</t>
  </si>
  <si>
    <t>Mouth--Diseases.,Oral manifestations of general diseases.,Teeth--Diseases.</t>
  </si>
  <si>
    <t>Burket, Lester W.-Ship, Jonathan A.-Glick, Michael.-Greenberg, Martin S.</t>
  </si>
  <si>
    <t>Three Minute Therapy</t>
  </si>
  <si>
    <t>Change Your Thinking, Change Your Life</t>
  </si>
  <si>
    <t>Glenbridge Publishing</t>
  </si>
  <si>
    <t>Glenbridge Publishing Ltd.</t>
  </si>
  <si>
    <t>PSYCHOLOGY / Psychotherapy / General</t>
  </si>
  <si>
    <t>RC489.R3 E34 1997eb</t>
  </si>
  <si>
    <t>Rational emotive behavior therapy.,Self-help techniques.</t>
  </si>
  <si>
    <t>Edelstein, Michael R.-Steele, David Ramsay.</t>
  </si>
  <si>
    <t>Fire Risk</t>
  </si>
  <si>
    <t>Fire Safety Law and Its Practical Application</t>
  </si>
  <si>
    <t>Thorogood Publishing Ltd.</t>
  </si>
  <si>
    <t>Thorogood Publishing Ltd</t>
  </si>
  <si>
    <t>TECHNOLOGY &amp; ENGINEERING / Fire Science</t>
  </si>
  <si>
    <t>TH9537 .G75 2009eb</t>
  </si>
  <si>
    <t>Fire prevention.,Fire risk assessment.</t>
  </si>
  <si>
    <t>Grice, Allan.</t>
  </si>
  <si>
    <t>The Poet's Freedom</t>
  </si>
  <si>
    <t>A Notebook on Making</t>
  </si>
  <si>
    <t>PN1031 .S835 2011eb</t>
  </si>
  <si>
    <t>Creative writing.,Freedom and art.,Poetry--Authorship.</t>
  </si>
  <si>
    <t>Stewart, Susan</t>
  </si>
  <si>
    <t>Adults with Childhood Illnesses</t>
  </si>
  <si>
    <t>Considerations for Practice</t>
  </si>
  <si>
    <t>RC108 .B75 2011</t>
  </si>
  <si>
    <t>Adulthood.,Chronic diseases.</t>
  </si>
  <si>
    <t>Bricker, J. Timothy.-Merrick, Joav.-Omar, Hatim A.</t>
  </si>
  <si>
    <t>Bytes and Backbeats</t>
  </si>
  <si>
    <t>Repurposing Music in the Digital Age</t>
  </si>
  <si>
    <t>University of Michigan Press</t>
  </si>
  <si>
    <t>ML3470 .S32 2011eb</t>
  </si>
  <si>
    <t>Popular music--Production and direction.,Sound recordings--Production and direction.</t>
  </si>
  <si>
    <t>Savage, Steve</t>
  </si>
  <si>
    <t>Tracking Pop</t>
  </si>
  <si>
    <t>Graphene and Graphite Materials</t>
  </si>
  <si>
    <t>TP261.G7 G73 2009eb</t>
  </si>
  <si>
    <t>Graphene.,Graphite composites.,Graphitization.</t>
  </si>
  <si>
    <t>Chan, H. E.</t>
  </si>
  <si>
    <t>Hospital-acquired Infections</t>
  </si>
  <si>
    <t>MEDICAL / Infectious Diseases</t>
  </si>
  <si>
    <t>RA969 .H578 2009eb</t>
  </si>
  <si>
    <t>Nosocomial infections.</t>
  </si>
  <si>
    <t>Wilcox, Julia B.</t>
  </si>
  <si>
    <t>SCIENCE / Acoustics &amp; Sound</t>
  </si>
  <si>
    <t>QC233 .H67 2009eb</t>
  </si>
  <si>
    <t>Sound--Transmission.,Sound-waves.</t>
  </si>
  <si>
    <t>Pawlak, Andrzej.-Pedroza, Louis.-Everett, Michael.</t>
  </si>
  <si>
    <t>Handbook on Solar Wind</t>
  </si>
  <si>
    <t>Effects, Dynamics, and Interactions</t>
  </si>
  <si>
    <t>QB524 .H36 2009eb</t>
  </si>
  <si>
    <t>Climatic changes.,Solar activity--Environmental aspects.,Solar wind.</t>
  </si>
  <si>
    <t>Johannson, Hans E.</t>
  </si>
  <si>
    <t>Handbook of Vitamin C Research</t>
  </si>
  <si>
    <t>Daily Requirements, Dietary Sources and Adverse Effects</t>
  </si>
  <si>
    <t>QP772.A8 H36 2009eb</t>
  </si>
  <si>
    <t>Vitamin C--Handbooks, manuals, etc.</t>
  </si>
  <si>
    <t>Zajac, Julek.-Kucharski, Hubert.</t>
  </si>
  <si>
    <t>Nutrition and Diet Research Progress Series</t>
  </si>
  <si>
    <t>Ethical Issues in Aviation</t>
  </si>
  <si>
    <t>TECHNOLOGY &amp; ENGINEERING / Civil / Transportation</t>
  </si>
  <si>
    <t>TL553 .E84 2011eb</t>
  </si>
  <si>
    <t>Aeronautics, Commercial--Moral and ethical aspects.,Aeronautics--Social aspects.</t>
  </si>
  <si>
    <t>Hoppe, Elizabeth</t>
  </si>
  <si>
    <t>Geometrization of Physical Quantities</t>
  </si>
  <si>
    <t>SCIENCE / Weights &amp; Measures</t>
  </si>
  <si>
    <t>QC39 .C487 2009eb</t>
  </si>
  <si>
    <t>Geometric quantization.,Physical constants.</t>
  </si>
  <si>
    <t>Chizhov, Evgeny.</t>
  </si>
  <si>
    <t>Geometric Properties and Problems of Thick Knots</t>
  </si>
  <si>
    <t>MATHEMATICS / Topology</t>
  </si>
  <si>
    <t>QA612.2 .D53 2009eb</t>
  </si>
  <si>
    <t>Knot theory.</t>
  </si>
  <si>
    <t>Diao, Yuanan.-Ernst, Claus.</t>
  </si>
  <si>
    <t>Mathematics Research Developments Series</t>
  </si>
  <si>
    <t>Genetic Endocrinology of the Metabolic Syndrome</t>
  </si>
  <si>
    <t>RC662.4 .G46 2009eb</t>
  </si>
  <si>
    <t>Metabolic syndrome.,Metabolic syndrome--Genetic aspects.</t>
  </si>
  <si>
    <t>RodriÌguez, Santiago</t>
  </si>
  <si>
    <t>Democracy's Spectacle</t>
  </si>
  <si>
    <t>Sovereignty and Public Life in Antebellum American Writing</t>
  </si>
  <si>
    <t>PS217.P64 G74 2010eb</t>
  </si>
  <si>
    <t>American literature--19th century--History and criticism.,Democracy in literature.,Democracy--Psychological aspects.,Literature and society--United States--History--19th century.,Politics and literature--United States--History--19th century.,Sovereignty in literature.</t>
  </si>
  <si>
    <t>Greiman, Jennifer.</t>
  </si>
  <si>
    <t>Asylum Speakers</t>
  </si>
  <si>
    <t>Caribbean Refugees and Testimonial Discourse</t>
  </si>
  <si>
    <t>PS153.C27 S54 2011eb</t>
  </si>
  <si>
    <t>American literature--Caribbean American authors--History and criticism.,Emigration and immigration in literature.,Refugees in literature.,Refugees--Caribbean Area--Social conditions.,Refugees--United States--Social conditions.</t>
  </si>
  <si>
    <t>Shemak, April Ann.</t>
  </si>
  <si>
    <t>Angels of Mercy</t>
  </si>
  <si>
    <t>White Women and the History of New York's Colored Orphan Asylum</t>
  </si>
  <si>
    <t>HV995.N52 C657 2011eb</t>
  </si>
  <si>
    <t>African Americans--New York (State)--New York--Charities.,Orphanages--New York (State)--New York.,Women philanthropists--New York (State)--New York--History.,Women, White--New York (State)--New York--History.</t>
  </si>
  <si>
    <t>Seraile, William</t>
  </si>
  <si>
    <t>As Bad As They Say?</t>
  </si>
  <si>
    <t>Three Decades of Teaching in the Bronx</t>
  </si>
  <si>
    <t>LA2317 .M367 2011eb</t>
  </si>
  <si>
    <t>English teachers--United States--Biography.,High school teachers--United States--Biography.,Teaching--New York (State)--New York.</t>
  </si>
  <si>
    <t>Mayer, Janet Grossbach.</t>
  </si>
  <si>
    <t>The Doppelganger</t>
  </si>
  <si>
    <t>Literature's Philosophy</t>
  </si>
  <si>
    <t>B66 .V36 2010eb</t>
  </si>
  <si>
    <t>Literature--Philosophy.,Philosophy.,Subject (Philosophy)</t>
  </si>
  <si>
    <t>Vardoulakis, Dimitris.</t>
  </si>
  <si>
    <t>Civil Rights in New York City</t>
  </si>
  <si>
    <t>From World War II to the Giuliani Era</t>
  </si>
  <si>
    <t>JC599.U52 C35 2011eb</t>
  </si>
  <si>
    <t>Civil rights--New York (State)--New York.</t>
  </si>
  <si>
    <t>Taylor, Clarence.</t>
  </si>
  <si>
    <t>Specters of Conquest</t>
  </si>
  <si>
    <t>Indigenous Absence in Transatlantic Literatures</t>
  </si>
  <si>
    <t>PN441 .L445 2010eb</t>
  </si>
  <si>
    <t>Comparative literature--Theory, etc.,Literature--History and criticism--Theory, etc.</t>
  </si>
  <si>
    <t>Lifshey, Adam.-American Literatures Initiative.</t>
  </si>
  <si>
    <t>Giving an Account of Oneself</t>
  </si>
  <si>
    <t>BD450 .B895 2005eb</t>
  </si>
  <si>
    <t>Conduct of life.,Ethics.,Self (Philosophy)</t>
  </si>
  <si>
    <t>Butler, Judith</t>
  </si>
  <si>
    <t>Poetics of Emptiness</t>
  </si>
  <si>
    <t>Transformations of Asian Thought in American Poetry</t>
  </si>
  <si>
    <t>PS159.C5 S73 2010eb</t>
  </si>
  <si>
    <t>American poetry--Chinese influences.,Emptiness (Philosophy),Philosophy--East Asia.,Poetics.</t>
  </si>
  <si>
    <t>Stalling, Jonathan.</t>
  </si>
  <si>
    <t>Kinetics and Thermodynamics for Chemistry and Biochemistry</t>
  </si>
  <si>
    <t>A Festscript [sic] in Honor of the 75th Birthday of Professor Gennady E. Zaikov</t>
  </si>
  <si>
    <t>QD281.P6 K527 2009eb</t>
  </si>
  <si>
    <t>Chemical kinetics.,Copolymers.,Thermochemistry.</t>
  </si>
  <si>
    <t>Kirshenbaum, Gerald S.-Zaikov, G. E.-Pearce, Eli M.</t>
  </si>
  <si>
    <t>Introduction to Graph Theory</t>
  </si>
  <si>
    <t>MATHEMATICS / Graphic Methods</t>
  </si>
  <si>
    <t>QA166 .V65 2009eb</t>
  </si>
  <si>
    <t>Graph theory.</t>
  </si>
  <si>
    <t>Voloshin, Vitaly I.</t>
  </si>
  <si>
    <t>Introduction to Graph and Hypergraph Theory</t>
  </si>
  <si>
    <t>QA166 .V649 2009eb</t>
  </si>
  <si>
    <t>Graph theory.,Hypographs.</t>
  </si>
  <si>
    <t>Introduction of Intelligent Machine Fault Diagnosis and Prognosis</t>
  </si>
  <si>
    <t>TA169.6 .Y36 2009eb</t>
  </si>
  <si>
    <t>Automatic test equipment.,Conscious automata.,Expert systems (Computer science),Fault location (Engineering)--Automation.,Machine learning.,Machinery--Testing.</t>
  </si>
  <si>
    <t>Yang, O-Suk.-Widodo, Achmad.</t>
  </si>
  <si>
    <t>Insect Viruses: Detection, Characterization and Roles</t>
  </si>
  <si>
    <t>QR327 .C66 2009eb</t>
  </si>
  <si>
    <t>Insects--Viruses.,Medical virology.,Viral pesticides.</t>
  </si>
  <si>
    <t>Connell, Christopher J.-Ralston, Dominick P.</t>
  </si>
  <si>
    <t>Virology Research Progress Series</t>
  </si>
  <si>
    <t>Infectious Disease Modelling Research Progress</t>
  </si>
  <si>
    <t>RA651 .I54 2009eb</t>
  </si>
  <si>
    <t>Communicable diseases--Epidemiology.</t>
  </si>
  <si>
    <t>Tchuenche, Jean Michel.-Chiyaka, Christinah.</t>
  </si>
  <si>
    <t>Public Health in the 21st Century Series</t>
  </si>
  <si>
    <t>Industrial Waste</t>
  </si>
  <si>
    <t>Environmental Impact, Disposal and Treatment</t>
  </si>
  <si>
    <t>TECHNOLOGY &amp; ENGINEERING / Environmental / Waste Management</t>
  </si>
  <si>
    <t>TD897 .I4345 2009eb</t>
  </si>
  <si>
    <t>Factory and trade waste.</t>
  </si>
  <si>
    <t>Samuelson, John P.</t>
  </si>
  <si>
    <t>Lives Across Time/Growing Up</t>
  </si>
  <si>
    <t>Paths to Emotional Health &amp; Emotional Illness From Birth to 30 in 76 People</t>
  </si>
  <si>
    <t>Taylor &amp; Francis Ltd</t>
  </si>
  <si>
    <t>RC454.4</t>
  </si>
  <si>
    <t>Child psychopathology--Longitudinal studies.,Mental health--Longitudinal studies.,Mental illness--Longitudinal studies.,Psychology, Pathological--Longitudinal studies.</t>
  </si>
  <si>
    <t>Massie, Henry N.-Szajnberg, Nathan M.</t>
  </si>
  <si>
    <t>Master Your IBS</t>
  </si>
  <si>
    <t>An 8-week Plan to Control the Symptoms of Irritable Bowel Syndrome</t>
  </si>
  <si>
    <t>AGA Institute Press</t>
  </si>
  <si>
    <t>RC862.I77 M28 2010eb</t>
  </si>
  <si>
    <t>Irritable colon--Popular works.</t>
  </si>
  <si>
    <t>Barney, Pamela.</t>
  </si>
  <si>
    <t>IBD Self-management</t>
  </si>
  <si>
    <t>The AGA Guide to Crohn's Disease and Ulcerative Colitis</t>
  </si>
  <si>
    <t>RC862.I53 K36 2010eb</t>
  </si>
  <si>
    <t>Crohn's disease--Popular works.,Inflammatory bowel diseases--Popular works.,Ulcerative colitis--Popular works.</t>
  </si>
  <si>
    <t>Kane, Sunanda.-American Gastroenterologic Association.</t>
  </si>
  <si>
    <t>Threat 2.0</t>
  </si>
  <si>
    <t>Security and Compliance for Web 2.0 Sites</t>
  </si>
  <si>
    <t>COMPUTERS / Online Services / Resource Directories</t>
  </si>
  <si>
    <t>TK5105.888 .T45 2009eb</t>
  </si>
  <si>
    <t>Information technology--Security measures.,Online social networks.,Technological innovations--Security measures.,Web 2.0.</t>
  </si>
  <si>
    <t>IT Governance Research Team.</t>
  </si>
  <si>
    <t>The Insider Threat</t>
  </si>
  <si>
    <t>Combatting the Enemy Within</t>
  </si>
  <si>
    <t>QA76.9.A25 B553 2009eb</t>
  </si>
  <si>
    <t>Computer networks--Security measures.,Computer security.,Data protection.,Employee crimes--Prevention.</t>
  </si>
  <si>
    <t>Blackwell, Clive.</t>
  </si>
  <si>
    <t>The Green Office</t>
  </si>
  <si>
    <t>A Business Guide</t>
  </si>
  <si>
    <t>TJ163.5.O35 C35 2009eb</t>
  </si>
  <si>
    <t>Data processing service centers--Energy conservation.,Green technology.,Information technology--Environmental aspects.,Social responsibility of business.</t>
  </si>
  <si>
    <t>Calder, Alan.</t>
  </si>
  <si>
    <t>The Governance of Green IT</t>
  </si>
  <si>
    <t>The Role of Processes in Reducing Data Center Energy Requirements</t>
  </si>
  <si>
    <t>T58.64 .C35 2008eb</t>
  </si>
  <si>
    <t>Computer systems--Energy consumption.,Computer systems--Environmental aspects.,Green technology.,Information technology--Management.</t>
  </si>
  <si>
    <t>Spafford, George.</t>
  </si>
  <si>
    <t>Ten Rules of Information Security for the Smaller Business</t>
  </si>
  <si>
    <t>BUSINESS &amp; ECONOMICS / Workplace Culture</t>
  </si>
  <si>
    <t>QA76.9.A25 C35 2008eb</t>
  </si>
  <si>
    <t>Business--Data processing--Security measures.,Computer security.,Information technology--Security measures.,Small business--Information technology.</t>
  </si>
  <si>
    <t>ISO/IEC 38500</t>
  </si>
  <si>
    <t>The IT Governance Standard</t>
  </si>
  <si>
    <t>T58.5 .C353 2008eb</t>
  </si>
  <si>
    <t>Computer networks--Evaluation.,Computer networks--Standards.,Information technology--Management.</t>
  </si>
  <si>
    <t>PCI DSS</t>
  </si>
  <si>
    <t>A Pocket Guide</t>
  </si>
  <si>
    <t>QA76.9.A25 P414 2008eb</t>
  </si>
  <si>
    <t>Computer networks--Security measures.,Credit cards.,Data protection--Standards.,Liability for credit information.</t>
  </si>
  <si>
    <t>Calder, Alan.-Carter, Nicki.</t>
  </si>
  <si>
    <t>Mobile Security</t>
  </si>
  <si>
    <t>COMPUTERS / Security / General</t>
  </si>
  <si>
    <t>QA76.59 .F87 2009eb</t>
  </si>
  <si>
    <t>Mobile computing--Security measures.,Wireless communication systems.</t>
  </si>
  <si>
    <t>Furnell, Steven.</t>
  </si>
  <si>
    <t>IT Governance</t>
  </si>
  <si>
    <t>T58.5 .C35 2007eb</t>
  </si>
  <si>
    <t>Information technology--Management.</t>
  </si>
  <si>
    <t>Calder, Alan</t>
  </si>
  <si>
    <t>Information Security Breaches</t>
  </si>
  <si>
    <t>Avoidance and Treatment Based on ISO27001</t>
  </si>
  <si>
    <t>QA76.9.A25 K728 2009</t>
  </si>
  <si>
    <t>Business enterprises--Computer networks--Security measures.,Computer security--Management--Standards.,Data protection--Management--Standards.</t>
  </si>
  <si>
    <t>Krausz, Michael</t>
  </si>
  <si>
    <t>How to Use Web 2.0 and Social Networking Sites Securely</t>
  </si>
  <si>
    <t>TK5105.888 .H69 2009eb</t>
  </si>
  <si>
    <t>How to Survive a Data Breach</t>
  </si>
  <si>
    <t>QA76.9.D314 M58 2009</t>
  </si>
  <si>
    <t>Data protection.,Database security.</t>
  </si>
  <si>
    <t>Mitchell, Stewart.</t>
  </si>
  <si>
    <t>Greening the Data Center</t>
  </si>
  <si>
    <t>Opportunities for Improving Data Center Energy Efficiency</t>
  </si>
  <si>
    <t>COMPUTERS / Machine Theory</t>
  </si>
  <si>
    <t>TJ163.5.O35 S63 2009eb</t>
  </si>
  <si>
    <t>Data processing service centers--Energy conservation.,Green technology.,Information technology--Energy consumption.,Information technology--Environmental aspects.</t>
  </si>
  <si>
    <t>Enterprise Architecture</t>
  </si>
  <si>
    <t>T58.64 .M56 2009eb</t>
  </si>
  <si>
    <t>Computer network architectures.,Information resources management.,Information technology--Management.,Management information systems.</t>
  </si>
  <si>
    <t>Graves, Tom.</t>
  </si>
  <si>
    <t>Compliance for Green IT</t>
  </si>
  <si>
    <t>COMPUTERS / Management Information Systems</t>
  </si>
  <si>
    <t>T58.64 .C35 2009eb</t>
  </si>
  <si>
    <t>Carbon offsetting.,Computer systems--Environmental aspects.,Green technology.,Information technology--Management.</t>
  </si>
  <si>
    <t>The Definitive Guide to the C &amp; A Transformation</t>
  </si>
  <si>
    <t>The First Publication of a Comprehensive View Of the C &amp; A Transformation</t>
  </si>
  <si>
    <t>COMPUTERS / Security / Networking</t>
  </si>
  <si>
    <t>QA76.9.A25 M44 2009eb</t>
  </si>
  <si>
    <t>Computer networks--Accreditation--United States.,Computer networks--Certification--United States.,Computer security--United States--Management.,Cyberinfrastructure--United States.,Information technology--Security measures--United States.</t>
  </si>
  <si>
    <t>Mehan, Julie E.-Krush, Waylon.</t>
  </si>
  <si>
    <t>The Data Governance Imperative</t>
  </si>
  <si>
    <t>A Business Strategy for Corporate Data</t>
  </si>
  <si>
    <t>QA76.9.A25 S27 2009eb</t>
  </si>
  <si>
    <t>Business enterprises--Computer networks--Management.,Business planning.,Data protection--Planning.,Information technology--Management.</t>
  </si>
  <si>
    <t>Sarsfield, Steve.</t>
  </si>
  <si>
    <t>Guidelines for Directors</t>
  </si>
  <si>
    <t>T58.5 .C325 2005eb</t>
  </si>
  <si>
    <t>Disaster Recovery and Business Continuity</t>
  </si>
  <si>
    <t>A Quick Guide for Small Organizations and Busy Executives</t>
  </si>
  <si>
    <t>QA76.9.D348 B7 2008</t>
  </si>
  <si>
    <t>Data recovery (Computer science),Emergency management.,Information resources management.,Small business--Planning.</t>
  </si>
  <si>
    <t>Thejendra BS</t>
  </si>
  <si>
    <t>Application Security in the ISO27001 Environment</t>
  </si>
  <si>
    <t>QA76.9.A25 A67 2008eb</t>
  </si>
  <si>
    <t>Application software--Development--Standards.,Data protection--Standards.</t>
  </si>
  <si>
    <t>Vinod, Vasudevan.-Firosh, Ummer.-Anoop, Mangla.</t>
  </si>
  <si>
    <t>Integrative Klinische Chemie und Laboratoriumsmedizin</t>
  </si>
  <si>
    <t>Pathophysiologie, Pathobiochemie, HÃ¤matologie</t>
  </si>
  <si>
    <t>RB40 .I58 2003eb</t>
  </si>
  <si>
    <t>Clinical biochemistry.,Clinical chemistry.,Diagnosis, Laboratory.,Hematology.,Physiology, Pathological.</t>
  </si>
  <si>
    <t>Renz, H.</t>
  </si>
  <si>
    <t>Naturopathy Around the World</t>
  </si>
  <si>
    <t>Variations and Political Dilemmas of an Eclectic Heterdox Medical System</t>
  </si>
  <si>
    <t>HEALTH &amp; FITNESS / Naturopathy</t>
  </si>
  <si>
    <t>RZ433 .B34 2009eb</t>
  </si>
  <si>
    <t>Alternative medicine.,Naturopathy.</t>
  </si>
  <si>
    <t>Baer, Hans A.-Sporn, Stephen.</t>
  </si>
  <si>
    <t>National Wildlife Refuge System</t>
  </si>
  <si>
    <t>QL84.2 .C34 2009eb</t>
  </si>
  <si>
    <t>Wildlife refuges--United States--Management.</t>
  </si>
  <si>
    <t>Callihan, David.</t>
  </si>
  <si>
    <t>National Strategy for Influenza Pandemic</t>
  </si>
  <si>
    <t>RA644.I6 B73 2009eb</t>
  </si>
  <si>
    <t>Health planning--United States.,Influenza--Prevention--Government policy--United States.,Public health administration--United States.</t>
  </si>
  <si>
    <t>Bradley, Nancy T.</t>
  </si>
  <si>
    <t>Nanotechnology: Environmental, Health and Safety Issues</t>
  </si>
  <si>
    <t>Nova</t>
  </si>
  <si>
    <t>TECHNOLOGY &amp; ENGINEERING / Nanotechnology &amp; MEMS</t>
  </si>
  <si>
    <t>T174.7</t>
  </si>
  <si>
    <t>Nanotechnology--Environmental aspects--United States.,Nanotechnology--Health aspects--United States.,Nanotechnology--United States--Safety measures.</t>
  </si>
  <si>
    <t>Peterson, William P.</t>
  </si>
  <si>
    <t>Nanotechnology As a National Security Issue</t>
  </si>
  <si>
    <t>SCIENCE / Nanoscience</t>
  </si>
  <si>
    <t>T174.7 .S269 2009eb</t>
  </si>
  <si>
    <t>Nanotechnology--Research--Government policy--United States.,National security--United States.,Technology and state--United States.</t>
  </si>
  <si>
    <t>Sargent, John F.</t>
  </si>
  <si>
    <t>Nano- and Micro-crystalline Diamond Films and Powders</t>
  </si>
  <si>
    <t>TECHNOLOGY &amp; ENGINEERING / Materials Science / General</t>
  </si>
  <si>
    <t>TP873.5.D5 L54 2009eb</t>
  </si>
  <si>
    <t>Diamond thin films.,Nanodiamonds.</t>
  </si>
  <si>
    <t>Ligatchev, Valeri.</t>
  </si>
  <si>
    <t>The Werewolf Book</t>
  </si>
  <si>
    <t>The Encyclopedia of Shape-Shifting Beings</t>
  </si>
  <si>
    <t>BODY, MIND &amp; SPIRIT / Supernatural (incl. Ghosts)</t>
  </si>
  <si>
    <t>GR830.W4 S68 2012eb</t>
  </si>
  <si>
    <t>Shapeshifting--Encyclopedias.,Werewolves--Encyclopedias.</t>
  </si>
  <si>
    <t>Steiger, Brad.</t>
  </si>
  <si>
    <t>The Forgotten Terrorist</t>
  </si>
  <si>
    <t>Sirhan Sirhan and the Assassination of Robert F. Kennedy</t>
  </si>
  <si>
    <t>University of Nebraska Press</t>
  </si>
  <si>
    <t>Potomac Books</t>
  </si>
  <si>
    <t>E840.8.K4 A98 2007eb</t>
  </si>
  <si>
    <t>Assassins--Biography.,Terrorists--Biography.</t>
  </si>
  <si>
    <t>Ayton, Mel.</t>
  </si>
  <si>
    <t>Anxiety at 35,000 Feet</t>
  </si>
  <si>
    <t>An Introduction to Clinical Aerospace Psychology</t>
  </si>
  <si>
    <t>RC1085 .B67 2004eb</t>
  </si>
  <si>
    <t>Aviation psychology.,Fear of flying.</t>
  </si>
  <si>
    <t>Bor, Robert.-Kahr, Brett.</t>
  </si>
  <si>
    <t>Forensic Psychotherapy Monograph Series</t>
  </si>
  <si>
    <t>Sovereign Justice</t>
  </si>
  <si>
    <t>Global Justice in a World of Nations</t>
  </si>
  <si>
    <t>JC578 .G5625 2008eb</t>
  </si>
  <si>
    <t>Cosmopolitanism--Congresses.,Justice--Congresses.,Nation-state--Congresses.</t>
  </si>
  <si>
    <t>Queiroz, Regina.-De Angelis, Gabriele.-AureÌlio, Diogo Pires.</t>
  </si>
  <si>
    <t>Rare Earths As a Probe of Environment and Electron-phonon Interaction in Optical Materials</t>
  </si>
  <si>
    <t>SCIENCE / Chemistry / Inorganic</t>
  </si>
  <si>
    <t>QC462.R2 R37 2009eb</t>
  </si>
  <si>
    <t>Rare earths--Optical properties.</t>
  </si>
  <si>
    <t>Capelleti, Rosanna.</t>
  </si>
  <si>
    <t>Quasi-invariant and Pseudo-differentiable Measures in Banach Spaces</t>
  </si>
  <si>
    <t>MATHEMATICS / Transformations</t>
  </si>
  <si>
    <t>QA322.2 .L83 2009eb</t>
  </si>
  <si>
    <t>Banach spaces.,Functional analysis.,Invariant measures.</t>
  </si>
  <si>
    <t>LuÌˆdkovsky, Sergey V.</t>
  </si>
  <si>
    <t>Quantum Wells</t>
  </si>
  <si>
    <t>Theory, Fabrication and Applications</t>
  </si>
  <si>
    <t>SCIENCE / Physics / Electricity</t>
  </si>
  <si>
    <t>QC176.8.Q35 Q365 2009eb</t>
  </si>
  <si>
    <t>Quantum wells.</t>
  </si>
  <si>
    <t>O'Mahoney, Harper.-Ruyter, Alfred.</t>
  </si>
  <si>
    <t>Qualitative Investigations and Approximate Methods for Impulsive Equations</t>
  </si>
  <si>
    <t>MATHEMATICS / Differential Equations / Partial</t>
  </si>
  <si>
    <t>QA377 .H75 2009eb</t>
  </si>
  <si>
    <t>Impulsive differential equations.</t>
  </si>
  <si>
    <t>Hristova, Snezhana G.</t>
  </si>
  <si>
    <t>Non-Archimedean Linear Operators and Applications</t>
  </si>
  <si>
    <t>QA329.2 .D53 2009eb</t>
  </si>
  <si>
    <t>Banach spaces.,Hilbert space.,Linear operators.</t>
  </si>
  <si>
    <t>Diagana, Toka.</t>
  </si>
  <si>
    <t>Predictive Diagnostics and Personalized Treatment</t>
  </si>
  <si>
    <t>Dream or Reality</t>
  </si>
  <si>
    <t>MEDICAL / Nursing / Assessment &amp; Diagnosis</t>
  </si>
  <si>
    <t>RA427 .P737 2009eb</t>
  </si>
  <si>
    <t>Diagnosis.,Medical genetics.,Medical innovations.,Medicine, Preventive.,Pharmacogenomics.</t>
  </si>
  <si>
    <t>Golubnitschaja, Olga.</t>
  </si>
  <si>
    <t>Prediction of Performance and Pollutant Emission From Pulverized Coal Utility Boilers</t>
  </si>
  <si>
    <t>TD196.C63 P74 2009eb</t>
  </si>
  <si>
    <t>Air--Pollution--Measurement.,Boilers--Valuation.,Coal, Pulverized--Combustion--By-products.</t>
  </si>
  <si>
    <t>Spitz, N.</t>
  </si>
  <si>
    <t>Organ Donation</t>
  </si>
  <si>
    <t>Supply, Policies and Practices</t>
  </si>
  <si>
    <t>MEDICAL / Allied Health Services / General</t>
  </si>
  <si>
    <t>RD129 .O74 2009eb</t>
  </si>
  <si>
    <t>Donation of organs, tissues, etc.--Law and legislation--United States.,Donation of organs, tissues, etc--Government policy--United States.</t>
  </si>
  <si>
    <t>Grinkovskiy, Petr T.</t>
  </si>
  <si>
    <t>Oral Health Care in Systemic Diseases</t>
  </si>
  <si>
    <t>MEDICAL / Dentistry / Dental Hygiene</t>
  </si>
  <si>
    <t>RK55.S53 S88 2009eb</t>
  </si>
  <si>
    <t>Mouth--Care and hygiene.,Oral manifestations of general diseases.,Sick--Dental care.</t>
  </si>
  <si>
    <t>Sutthavong, Sirikarn.-Sangasapaviriya, Atik.</t>
  </si>
  <si>
    <t>Optical Deformability of Fluid Interfaces</t>
  </si>
  <si>
    <t>QC145.4.O6 O68 2009eb</t>
  </si>
  <si>
    <t>Interfaces (Physical sciences),Light absorption.,Liquids--Effect of radiation on.,Liquids--Magnetic properties.,Liquids--Optical properties.</t>
  </si>
  <si>
    <t>Delville, Jean-Pierre</t>
  </si>
  <si>
    <t>Oncology Social Work Practice in the Care of Breast and Ovarian Cancer Survivors</t>
  </si>
  <si>
    <t>RC280.B8 D36283 2009eb</t>
  </si>
  <si>
    <t>Breast--Cancer--Social aspects.,Medical social work.,Ovaries--Cancer--Social aspects.</t>
  </si>
  <si>
    <t>Davis, Cindy</t>
  </si>
  <si>
    <t>Oncologic Surgery of the Pterygopalatine Fossa and Adjacent Structures</t>
  </si>
  <si>
    <t>RD662.5 .J53 2009eb</t>
  </si>
  <si>
    <t>Skull base--Tumors--Surgery.</t>
  </si>
  <si>
    <t>Jian, Xinchun.</t>
  </si>
  <si>
    <t>Oil Spill Costs and Impacts</t>
  </si>
  <si>
    <t>TD427.P4 U79 2009eb</t>
  </si>
  <si>
    <t>Oil spills--Economic aspects.,Oil spills--Environmental aspects.</t>
  </si>
  <si>
    <t>Urwellen, Robert H.</t>
  </si>
  <si>
    <t>Nutrition Education and Change</t>
  </si>
  <si>
    <t>TX359 .N88 2009eb</t>
  </si>
  <si>
    <t>Nutrition policy.,Nutrition--Education.</t>
  </si>
  <si>
    <t>Realine, Beatra F.</t>
  </si>
  <si>
    <t>Education in a Competitive and Globalizing World Series</t>
  </si>
  <si>
    <t>Human Travel to the Moon and Mars</t>
  </si>
  <si>
    <t>Waste of Money or Next Frontier?</t>
  </si>
  <si>
    <t>Lerner Publishing Group</t>
  </si>
  <si>
    <t>Twenty-First Century Books â„¢</t>
  </si>
  <si>
    <t>YOUNG ADULT NONFICTION / Social Topics / General</t>
  </si>
  <si>
    <t>TL789.8.U5 D64 2012eb</t>
  </si>
  <si>
    <t>Astronautics and state--United States.</t>
  </si>
  <si>
    <t>Doeden, Matt.</t>
  </si>
  <si>
    <t>USA Today's Debate: Voices and Perspectives</t>
  </si>
  <si>
    <t>Is the End of the World Near?</t>
  </si>
  <si>
    <t>From Crackpot Predictions to Scientific Scenarios</t>
  </si>
  <si>
    <t xml:space="preserve">YOUNG ADULT NONFICTION / Social Science / Sociology </t>
  </si>
  <si>
    <t>QB638.8 .M55 2012eb</t>
  </si>
  <si>
    <t>End of the world (Astronomy),Science--Miscellanea.</t>
  </si>
  <si>
    <t>Miller, Ron</t>
  </si>
  <si>
    <t>Glaucoma Screening</t>
  </si>
  <si>
    <t>Screening for Open Angle Glaucoma, Primary Angle-closure and Primary Angle-closure Glaucoma: the 5th Consensus Report of the World Glaucoma Association</t>
  </si>
  <si>
    <t>RE871 .G53 2008eb</t>
  </si>
  <si>
    <t>Angle-closure glaucoma--Diagnosis--Congresses.</t>
  </si>
  <si>
    <t>Topouzis, Fotis.-Healey, Paul R.-Weinreb, Robert N.-World Glaucoma Association.</t>
  </si>
  <si>
    <t>Consensus Series</t>
  </si>
  <si>
    <t>Chronic Otitis Media</t>
  </si>
  <si>
    <t>: Pathogenesis-oriented Therapeutic Management</t>
  </si>
  <si>
    <t>RF225 .C57 2008eb</t>
  </si>
  <si>
    <t>Middle ear--Surgery.,Otitis media.</t>
  </si>
  <si>
    <t>Perimetry Update, 2002/2003</t>
  </si>
  <si>
    <t>Proceedings of the XVth International Perimetric Society Meeting, Stratford-upon-Avon, England, June 26-29, 2002</t>
  </si>
  <si>
    <t>RE79.P4 I58 2003eb</t>
  </si>
  <si>
    <t>Perimetry--Congresses.</t>
  </si>
  <si>
    <t>Henson, David B.-Wall, Michael</t>
  </si>
  <si>
    <t>International Perimetric Society</t>
  </si>
  <si>
    <t>MeÌnieÌ€re's Disease</t>
  </si>
  <si>
    <t>RF275 .M437 1999eb</t>
  </si>
  <si>
    <t>MeÂ´nie`re's disease.</t>
  </si>
  <si>
    <t>Harris, Jeffrey P.</t>
  </si>
  <si>
    <t>Perimetry Update 1998/1999</t>
  </si>
  <si>
    <t>Proceedings of the XIIIth International Perimetric Society Meeting, Gardone Riviera (BS), Italy, September 6-9, 1998</t>
  </si>
  <si>
    <t>RE79.P4 I555 1998eb</t>
  </si>
  <si>
    <t>Wall, Michael-Wild, John M.</t>
  </si>
  <si>
    <t>Current Concepts in Aesthetic and Reconstructive Oculoplastic Surgery</t>
  </si>
  <si>
    <t>Proceedings of the 48th Annual Symposium on Oculoplastic Surgery, New Orleans, LA, USA, February 19-21, 1999</t>
  </si>
  <si>
    <t>MEDICAL / Surgery / Cosmetic &amp; Reconstructive</t>
  </si>
  <si>
    <t>RD118.A2</t>
  </si>
  <si>
    <t>Surgery, Plastic--Congresses.</t>
  </si>
  <si>
    <t>Faulkner, Alan R.-Fry, Constance L.-New Orleans Academy of Ophthalmology.</t>
  </si>
  <si>
    <t>Meniere's Disease 1999 - Update</t>
  </si>
  <si>
    <t>MEDICAL / Audiology &amp; Speech Pathology</t>
  </si>
  <si>
    <t>RF275 .M46 2000eb</t>
  </si>
  <si>
    <t>MeÂ´nie`re's disease--Congresses.</t>
  </si>
  <si>
    <t>Sterkers, O.</t>
  </si>
  <si>
    <t>Occupational Voice</t>
  </si>
  <si>
    <t>Care and Cure</t>
  </si>
  <si>
    <t>RF510 .O23 2001eb</t>
  </si>
  <si>
    <t>Voice disorders--Treatment--Congresses.,Voice--Diseases--Congresses.</t>
  </si>
  <si>
    <t>Dejonckere, P. H.</t>
  </si>
  <si>
    <t>Principles and Practice of Lasers in Otorhinolaryngology and Head and Neck Surgery</t>
  </si>
  <si>
    <t>MEDICAL / Lasers in Medicine</t>
  </si>
  <si>
    <t>RD73.L3 P75 2002eb</t>
  </si>
  <si>
    <t>Head--Laser surgery.,Larynx--Laser surgery.,Lasers in surgery.,Neck--Laser surgery.</t>
  </si>
  <si>
    <t>Oswal, V. H.-Remacle, Marc.-Jovanovic, S.-Krespi, Yosef P.</t>
  </si>
  <si>
    <t>Manual of Temporal Bone Dissection</t>
  </si>
  <si>
    <t>RF126 .B37 2002eb</t>
  </si>
  <si>
    <t>Temporal bone--Surgery.</t>
  </si>
  <si>
    <t>Barbara, M.</t>
  </si>
  <si>
    <t>Surgery for Snoring and Obstructive Sleep Apnea Syndrome</t>
  </si>
  <si>
    <t>Diagnosis and Therapy of Sleep Respiratory Disorders for the Otorhinolaryngologist</t>
  </si>
  <si>
    <t>RC737.5 .S87 2003eb</t>
  </si>
  <si>
    <t>Sleep apnea syndromes--Treatment--Congresses.,Snoring--Treatment--Congresses.</t>
  </si>
  <si>
    <t>Fabiani, Mario.</t>
  </si>
  <si>
    <t>Wavefront and Emerging Refractive Technologies</t>
  </si>
  <si>
    <t>Proceedings of the 51st Annual Symposium of the New Orleans Academy of Ophthalmology on Wavefront and Emerging Refractive Technologies, New Orleans, LA, USA, February 22-24, 2002</t>
  </si>
  <si>
    <t>RE11 .N49 2002eb</t>
  </si>
  <si>
    <t>LASIK (Eye surgery)--Congresses.,Ophthalmology--Technological innovations--Congresses.,Optics, Adaptive--Congresses.</t>
  </si>
  <si>
    <t>Koury, Jill B.-New Orleans Academy of Ophthalmology.</t>
  </si>
  <si>
    <t>New Orleans Academy of Ophthalmology</t>
  </si>
  <si>
    <t>Lasers in Ophthalmology</t>
  </si>
  <si>
    <t>Basic, Diagnostic, and Surgical Aspects: a Review</t>
  </si>
  <si>
    <t>RE86 .L37 2003eb</t>
  </si>
  <si>
    <t>Eye--Laser surgery.,Lasers in ophthalmology.</t>
  </si>
  <si>
    <t>Kwasniewska, Sylwia.-Fankhauser, Franz</t>
  </si>
  <si>
    <t>At the Crossings</t>
  </si>
  <si>
    <t>Pediatric Ophthalmology and Strabismus: Proceedings of the 52nd Annual Symposium of the New Orleans Academy of Ophthalmology, New Orleans, LA, USA, February 14-16, 2003</t>
  </si>
  <si>
    <t>RE48.2.C5 A87 2003eb</t>
  </si>
  <si>
    <t>Pediatric ophthalmology--Congresses.,Strabismus--Congresses.</t>
  </si>
  <si>
    <t>Eustis, H. Sprague.-Ellis, George S.-Balkan, Robert J.</t>
  </si>
  <si>
    <t>Glaucoma Diagnosis Structure and Function</t>
  </si>
  <si>
    <t>Reports and Consensus Statements of the 1st Global AIGS Meeting on 'Structure and Function in the Management of Glaucoma'</t>
  </si>
  <si>
    <t>RE871 .G53 2004eb</t>
  </si>
  <si>
    <t>Glaucoma--Diagnosis--Congresses.,Glaucoma--Surgery--Congresses.,Open-angle glaucoma--Congresses.</t>
  </si>
  <si>
    <t>Weinreb, Robert N.-Greve, Erik L.</t>
  </si>
  <si>
    <t>WGA Consensus Series 1</t>
  </si>
  <si>
    <t>To the Macula and Beyond</t>
  </si>
  <si>
    <t>Proceedings of the 53rd Annual Symposium of the New Orleans Academy of Ophthalmology, New Orleans, LA, USA, February 13-15, 2004</t>
  </si>
  <si>
    <t>RE551 .N49 2004eb</t>
  </si>
  <si>
    <t>Eye--Radiography--Congresses.,Retina--Diseases--Congresses.</t>
  </si>
  <si>
    <t>Batlle, Ivan R.</t>
  </si>
  <si>
    <t>Glaucoma Surgery, Open Angle Glaucoma</t>
  </si>
  <si>
    <t>Reports and Consensus Statements of the 2nd Global AIGS Consensus Meeting on Glaucoma Surgery--open Angle Glaucoma</t>
  </si>
  <si>
    <t>RE871 .G67 2005eb</t>
  </si>
  <si>
    <t>Open-angle glaucoma--Surgery--Congresses.</t>
  </si>
  <si>
    <t>Crowston, Jonathan G.-Weinreb, Robert N.-Association of International Glaucoma Societies.</t>
  </si>
  <si>
    <t>Rhinoplasty</t>
  </si>
  <si>
    <t>Practical Guide to Functional and Aesthetic Surgery of the Nose</t>
  </si>
  <si>
    <t>RD119.5.N67 R47 2005eb</t>
  </si>
  <si>
    <t>Rhinoplasty.,Surgery, Plastic--Handbooks, manuals, etc.</t>
  </si>
  <si>
    <t>Nolst TreniteÌ, G. J.</t>
  </si>
  <si>
    <t>Eye on the Bayou</t>
  </si>
  <si>
    <t>New Concepts in Glaucoma, Cataract, and Neuro-ophthalmology: Proceedings of the 54th Annual Symposium of the New Orleans Academy of Ophthalmology, New Orleans, LA, USA, February 18-20, 2005</t>
  </si>
  <si>
    <t>RE871 .N48 2005eb</t>
  </si>
  <si>
    <t>Anterior segment (Eye)--Congresses.,Cataract--Congresses.,Glaucoma--Congresses.,Optic nerve--Diseases--Congresses.</t>
  </si>
  <si>
    <t>Nussdorf, Jonathan D.</t>
  </si>
  <si>
    <t>Angle Closure and Angle Closure Glaucoma</t>
  </si>
  <si>
    <t>Reports and Consensus Statements of the 3rd Global AIGS Consensus Meeting on Angle Closure Glaucoma</t>
  </si>
  <si>
    <t>RE871 .G62 2006eb</t>
  </si>
  <si>
    <t>Angle-closure glaucoma--Congresses.</t>
  </si>
  <si>
    <t>Friedman, David S.-Weinreb, Robert N.</t>
  </si>
  <si>
    <t>Intraocular Pressure</t>
  </si>
  <si>
    <t>Reports and Consensus Statements of the 4th Global AIGS Consensus Meeting on Intraocular Pressure</t>
  </si>
  <si>
    <t>RE871 .I58 2007eb</t>
  </si>
  <si>
    <t>Glaucoma--Congresses.,Intraocular pressure--Congresses.</t>
  </si>
  <si>
    <t>Weinreb, Robert N.-World Glaucoma Association.</t>
  </si>
  <si>
    <t>Angle Closure Glaucoma</t>
  </si>
  <si>
    <t>RE871 .A545 2007eb</t>
  </si>
  <si>
    <t>Glaucoma--Congresses.</t>
  </si>
  <si>
    <t>Yamamoto, Tetsuya.-Hong, Chul.-Asian Angle Closure Glaucoma Club.</t>
  </si>
  <si>
    <t>E-Motion Picture Magic</t>
  </si>
  <si>
    <t>A Movie Lover's Guide to Healing and Transformation</t>
  </si>
  <si>
    <t>RC489.M654 W65 2005eb</t>
  </si>
  <si>
    <t>Motion pictures in psychotherapy.</t>
  </si>
  <si>
    <t>Wolz, Birgit.</t>
  </si>
  <si>
    <t>The Essential It's a Wonderful Life</t>
  </si>
  <si>
    <t>A Scene-By-Scene Guide to the Classic Film</t>
  </si>
  <si>
    <t>Chicago Review Press</t>
  </si>
  <si>
    <t>PERFORMING ARTS / Film / Guides &amp; Reviews</t>
  </si>
  <si>
    <t>PN1997.I758 W55 2006eb</t>
  </si>
  <si>
    <t>Willian, Michael.</t>
  </si>
  <si>
    <t>Social Epileptology</t>
  </si>
  <si>
    <t>Understanding Social Aspects of Epilepsy</t>
  </si>
  <si>
    <t>RA645.E64 S63 2009eb</t>
  </si>
  <si>
    <t>Epilepsy--Social aspects.</t>
  </si>
  <si>
    <t>Pinikahana, Jaya.-Walker, Christine</t>
  </si>
  <si>
    <t>Social Issues, Justice and Status Series</t>
  </si>
  <si>
    <t>Robot Vision</t>
  </si>
  <si>
    <t>TECHNOLOGY &amp; ENGINEERING / Robotics</t>
  </si>
  <si>
    <t>TJ211.3 .R62 2009eb</t>
  </si>
  <si>
    <t>Robot vision.,Robotics.</t>
  </si>
  <si>
    <t>Matsuda, Taisho.</t>
  </si>
  <si>
    <t>The Asia-Europe Meeting</t>
  </si>
  <si>
    <t>Contributing to a New Global Governance Architecture: The Eighth ASEM Summit in Brussels (2010)</t>
  </si>
  <si>
    <t>DS33.4.E85 A85 2010eb</t>
  </si>
  <si>
    <t>Velde, Paul van der.-Bersick, Sebastian</t>
  </si>
  <si>
    <t>ICAS Publications Series. Edited Volumes</t>
  </si>
  <si>
    <t>Binocular Vision</t>
  </si>
  <si>
    <t>Development, Depth Perception, and Disorders</t>
  </si>
  <si>
    <t>MEDICAL / Neuroscience</t>
  </si>
  <si>
    <t>QP487 .B56 2009eb</t>
  </si>
  <si>
    <t>Binocular vision disorders.,Binocular vision.,Computer vision.,Depth perception.</t>
  </si>
  <si>
    <t>Reeves, Lucien.-McCoun, Jacques.</t>
  </si>
  <si>
    <t>Eye &amp; Vision Research Developments Series</t>
  </si>
  <si>
    <t>Freedom From Stress</t>
  </si>
  <si>
    <t>How to Take Control of Your Life</t>
  </si>
  <si>
    <t>SELF-HELP / Self-Management / Stress Management</t>
  </si>
  <si>
    <t>RA785 .G35 2006eb</t>
  </si>
  <si>
    <t>Stress management.</t>
  </si>
  <si>
    <t>Gamow, David.-Gamow, Karen.</t>
  </si>
  <si>
    <t>50 Minutes to Better Software Demos</t>
  </si>
  <si>
    <t>Apply Your Sales Skills with Confidence</t>
  </si>
  <si>
    <t>Axzo Press</t>
  </si>
  <si>
    <t>BUSINESS &amp; ECONOMICS / Distribution</t>
  </si>
  <si>
    <t>QA76.754 .G36 2009eb</t>
  </si>
  <si>
    <t>Computer software--Study and teaching.</t>
  </si>
  <si>
    <t>Gambino, Matt.</t>
  </si>
  <si>
    <t>Crisp Fifty-minute Series Book</t>
  </si>
  <si>
    <t>CompTIA Strata</t>
  </si>
  <si>
    <t>Fundamentals of IT Technology</t>
  </si>
  <si>
    <t>COMPUTERS / Operating Systems / General</t>
  </si>
  <si>
    <t>QA76.3 .T74 2009eb</t>
  </si>
  <si>
    <t>Electronic data processing personnel--Certification.,Information technology--Management--Study guides.</t>
  </si>
  <si>
    <t>Tremblay, Don.</t>
  </si>
  <si>
    <t>CompTIA Project+ Certification</t>
  </si>
  <si>
    <t>QA76.3 .C66 2009eb</t>
  </si>
  <si>
    <t>Electronic data processing personnel--Certification.,Information technology--Management--Study guides.,Project management--Examinations--Study guides.</t>
  </si>
  <si>
    <t>Furst, J.</t>
  </si>
  <si>
    <t>ILT Series</t>
  </si>
  <si>
    <t>Industrial Biotechnology</t>
  </si>
  <si>
    <t>Patenting Trends and Innovation</t>
  </si>
  <si>
    <t>TP248.175 .I53 2009eb</t>
  </si>
  <si>
    <t>Biotechnology industries.,Biotechnology--Patents.</t>
  </si>
  <si>
    <t>Linton, Katherine.</t>
  </si>
  <si>
    <t>Biotechnology in Agriculture, Industry and Medicine Series</t>
  </si>
  <si>
    <t>Contemporary Cardiovascular Continuum</t>
  </si>
  <si>
    <t>Associates in Medical Marketing Co., Inc.</t>
  </si>
  <si>
    <t>RC682 .C658 2006eb</t>
  </si>
  <si>
    <t>Heart--Diseases.,Metabolic syndrome.</t>
  </si>
  <si>
    <t>Amsterdam, Ezra A.</t>
  </si>
  <si>
    <t>Contemporary Diagnosis and Management of Valvular Heart Diseases</t>
  </si>
  <si>
    <t>RC685.V2 B67 2003eb</t>
  </si>
  <si>
    <t>Heart valves--Diseases--Handbooks, manuals, etc.</t>
  </si>
  <si>
    <t>Borer, J. S.</t>
  </si>
  <si>
    <t>Medical Interventions for Bioterrorism and Emerging Infections</t>
  </si>
  <si>
    <t>RC88.9.T47 S34 2004eb</t>
  </si>
  <si>
    <t>Biological weapons--Handbooks, manuals, etc.,Bioterrorism--Handbooks, manuals, etc.,Bioterrorism--Health aspects--Handbooks, manuals, etc.</t>
  </si>
  <si>
    <t>Schlossberg, David.</t>
  </si>
  <si>
    <t>Contemporary Guide to Surgical Infections</t>
  </si>
  <si>
    <t>RD98.3 .W47 2008eb</t>
  </si>
  <si>
    <t>Surgical wound infections--Handbooks, manuals, etc.</t>
  </si>
  <si>
    <t>West, Michael A.</t>
  </si>
  <si>
    <t>Contemporary Guide to Headache and Its Disorders</t>
  </si>
  <si>
    <t>RC392 .S55 2009eb</t>
  </si>
  <si>
    <t>Headache--Handbooks, manuals, etc.</t>
  </si>
  <si>
    <t>Silberstein, Stephen D.</t>
  </si>
  <si>
    <t>Contemporary Guide to Dermatology</t>
  </si>
  <si>
    <t>HEALTH &amp; FITNESS / Diseases / Skin</t>
  </si>
  <si>
    <t>RL74 .K66 2007eb</t>
  </si>
  <si>
    <t>Dermatology--Handbooks, manuals, etc.</t>
  </si>
  <si>
    <t>Koo, John Y. M.-Lee, Chai Sue.-Cheung, Lawrence.</t>
  </si>
  <si>
    <t>Contemporary Guide to Cardiovascular Therapy</t>
  </si>
  <si>
    <t>RC671 .C36 2008eb</t>
  </si>
  <si>
    <t>Cardiovascular system--Diseases--Treatment--Handbooks, manuals, etc.</t>
  </si>
  <si>
    <t>Cannon, Christopher P.-Mehta, Nehal N.</t>
  </si>
  <si>
    <t>Contemporary Guide to Aesthetic Enhancement</t>
  </si>
  <si>
    <t>RD118 .C36 2008eb</t>
  </si>
  <si>
    <t>Surgery, Plastic--Handbooks, manuals, etc.</t>
  </si>
  <si>
    <t>Cantisano-Zilkha, Marian.</t>
  </si>
  <si>
    <t>Contemporary Diagnosis, Prevention, and Management of Influenza</t>
  </si>
  <si>
    <t>RC150 .M66 2009eb</t>
  </si>
  <si>
    <t>Influenza.</t>
  </si>
  <si>
    <t>Monto, Arnold S.</t>
  </si>
  <si>
    <t>Contemporary Diagnosis and Management of Urinary Tract Infections</t>
  </si>
  <si>
    <t>MEDICAL / Urology</t>
  </si>
  <si>
    <t>RC901.8 .I25 2003eb</t>
  </si>
  <si>
    <t>Urinary tract infections--Handbooks, manuals, etc.</t>
  </si>
  <si>
    <t>Iannini, Paul B.</t>
  </si>
  <si>
    <t>Contemporary Diagnosis and Management of Upper Gastrointestinal Diseases</t>
  </si>
  <si>
    <t>RC816 .E4 2005eb</t>
  </si>
  <si>
    <t>Duodenum--Diseases--Handbooks, manuals, etc.,Gastroesophageal reflux--Handbooks, manuals, etc.,Stomach--Diseases--Handbooks, manuals, etc.</t>
  </si>
  <si>
    <t>El-Serag, Hashem B.-Graham, David Y.</t>
  </si>
  <si>
    <t>Contemporary Diagnosis and Management of Ulcerative Colitis and Proctitis</t>
  </si>
  <si>
    <t>RC862.C63 P47 2005eb</t>
  </si>
  <si>
    <t>Ulcerative colitis--Handbooks, manuals, etc.</t>
  </si>
  <si>
    <t>Peppercorn, Mark A.</t>
  </si>
  <si>
    <t>Contemporary Diagnosis and Management of Type 2 Diabetes</t>
  </si>
  <si>
    <t>RC662.18 .H784 2009eb</t>
  </si>
  <si>
    <t>Non-insulin-dependent diabetes--Diagnosis--Handbooks, manuals, etc.,Non-insulin-dependent diabetes--Treatment--Handbooks, manuals, etc.</t>
  </si>
  <si>
    <t>Hsueh, Willa A.-Bryer-Ash, Michael.</t>
  </si>
  <si>
    <t>Contemporary Diagnosis and Management of the Post-MI Patient</t>
  </si>
  <si>
    <t>RC685.I6 A55 2008eb</t>
  </si>
  <si>
    <t>Myocardial infarction--Handbooks, manuals, etc.</t>
  </si>
  <si>
    <t>Amsterdam, Ezra A.-Liebson, Philip R.</t>
  </si>
  <si>
    <t>Contemporary Diagnosis and Management of the Patient with Type 2 Diabetes</t>
  </si>
  <si>
    <t>RC662.18 .C65 2009eb</t>
  </si>
  <si>
    <t>Miller, Jeffrey L.-Jabbour, Serge.</t>
  </si>
  <si>
    <t>Contemporary Diagnosis and Management of the Patient with Epilepsy</t>
  </si>
  <si>
    <t>RC372 .L46 2006eb</t>
  </si>
  <si>
    <t>Epilepsy--Handbooks, manuals, etc.</t>
  </si>
  <si>
    <t>Leppik, Ilo E.</t>
  </si>
  <si>
    <t>Contemporary Diagnosis and Management of the Metabolic Syndrome</t>
  </si>
  <si>
    <t>RC662.4 .G785 2005eb</t>
  </si>
  <si>
    <t>Metabolic syndrome--Handbooks, manuals, etc.</t>
  </si>
  <si>
    <t>Grundy, Scott M.</t>
  </si>
  <si>
    <t>Contemporary Diagnosis and Management of the Hypertensive Patient</t>
  </si>
  <si>
    <t>RC685.H8 W448 2009eb</t>
  </si>
  <si>
    <t>Hypertension--Diagnosis--Handbooks, manuals, etc.,Hypertension--Treatment--Handbooks, manuals, etc.</t>
  </si>
  <si>
    <t>Weir, Matthew R.-Sica, Domenic A.</t>
  </si>
  <si>
    <t>Contemporary Diagnosis and Management of Stroke</t>
  </si>
  <si>
    <t>RC388.5 .W438 2005eb</t>
  </si>
  <si>
    <t>Cerebrovascular disease--Handbooks, manuals, etc.</t>
  </si>
  <si>
    <t>Weinberger, Jesse.</t>
  </si>
  <si>
    <t>Contemporary Diagnosis and Management of Skin and Soft-tissue Infections</t>
  </si>
  <si>
    <t>MEDICAL / Dermatology</t>
  </si>
  <si>
    <t>RL201 .F56 2009eb</t>
  </si>
  <si>
    <t>Bacterial diseases--Diagnosis--Handbooks, manuals, etc.,Bacterial diseases--Treatment--Handbooks, manuals, etc.,Skin--Infections--Diagnosis--Handbooks, manuals, etc.,Skin--Infections--Treatment--Handbooks, manuals, etc.</t>
  </si>
  <si>
    <t>File, Thomas.-Stevens, Dennis L.</t>
  </si>
  <si>
    <t>Contemporary Diagnosis and Management of Sinusitis</t>
  </si>
  <si>
    <t>RF425 .P36 2004eb</t>
  </si>
  <si>
    <t>Sinusitis--Handbooks, manuals, etc.</t>
  </si>
  <si>
    <t>Pankey, George A.-Mendelsohn, Michael G.-Gross, Charles W.</t>
  </si>
  <si>
    <t>Contemporary Diagnosis and Management of Sepsis</t>
  </si>
  <si>
    <t>RC182.S4 E45 2004eb</t>
  </si>
  <si>
    <t>Septicemia--Handbooks, manuals, etc.</t>
  </si>
  <si>
    <t>Ely, E. Wesley.-Bernard, Gordon R.</t>
  </si>
  <si>
    <t>Contemporary Diagnosis and Management of Restless Legs Syndrome</t>
  </si>
  <si>
    <t>RC548.5 .R94 2009eb</t>
  </si>
  <si>
    <t>Restless legs syndrome.</t>
  </si>
  <si>
    <t>Rye, David B.</t>
  </si>
  <si>
    <t>Contemporary Diagnosis and Management of Peripheral Arterial Disease</t>
  </si>
  <si>
    <t>RC964 .H48 2004eb</t>
  </si>
  <si>
    <t>Arteries--Diseases.,Peripheral vascular diseases.</t>
  </si>
  <si>
    <t>Hiatt, William R.</t>
  </si>
  <si>
    <t>Contemporary Diagnosis and Management of Parkinson's Disease</t>
  </si>
  <si>
    <t>HEALTH &amp; FITNESS / Diseases / Alzheime[a-zA-Z]'[a-zA-Z] &amp; Dementia</t>
  </si>
  <si>
    <t>RC382 .S45 2007eb</t>
  </si>
  <si>
    <t>Parkinson's disease--Handbooks, manuals, etc.</t>
  </si>
  <si>
    <t>Shannon, Kathleen M.</t>
  </si>
  <si>
    <t>Contemporary Diagnosis and Management of Pain</t>
  </si>
  <si>
    <t>MEDICAL / Pain Medicine</t>
  </si>
  <si>
    <t>RB127 .L66 2009eb</t>
  </si>
  <si>
    <t>Analgesia--Handbooks, manuals, etc.,Pain--Handbooks, manuals, etc.</t>
  </si>
  <si>
    <t>Long, Donlin M.</t>
  </si>
  <si>
    <t>Contemporary Diagnosis and Management of Nosocomial Pneumonias</t>
  </si>
  <si>
    <t>RC771 .B38 2009eb</t>
  </si>
  <si>
    <t>Nosocomial infections.,Pneumonia.</t>
  </si>
  <si>
    <t>Baughman, Robert P.</t>
  </si>
  <si>
    <t>Contemporary Diagnosis and Management of Multiple Sclerosis</t>
  </si>
  <si>
    <t>RC377 .R833 2004eb</t>
  </si>
  <si>
    <t>Multiple sclerosis--Handbooks, manuals, etc.</t>
  </si>
  <si>
    <t>Rudick, Richard A.</t>
  </si>
  <si>
    <t>Contemporary Diagnosis and Management of Male Erectile Dysfunction</t>
  </si>
  <si>
    <t>RC889 .L788 2005eb</t>
  </si>
  <si>
    <t>Impotence.</t>
  </si>
  <si>
    <t>Lue, Tom F.</t>
  </si>
  <si>
    <t>Contemporary Diagnosis and Management of Lipid Disorders</t>
  </si>
  <si>
    <t>RC632.L5 G68 2008eb</t>
  </si>
  <si>
    <t>Lipids--Metabolism--Disorders.</t>
  </si>
  <si>
    <t>Gotto, Antonio M.</t>
  </si>
  <si>
    <t>Contemporary Diagnosis and Management of Irritable Bowel Syndrome</t>
  </si>
  <si>
    <t>RC862.I77 L46 2009eb</t>
  </si>
  <si>
    <t>Irritable colon--Handbooks, manuals, etc.</t>
  </si>
  <si>
    <t>Lembo, Anthony.-Drossman, Douglas A.</t>
  </si>
  <si>
    <t>Contemporary Diagnosis and Management of Hypertriglyceridemia</t>
  </si>
  <si>
    <t>RC632.H888 F39 2009eb</t>
  </si>
  <si>
    <t>Hypertriglyceridemia--Handbooks, manuals, etc.</t>
  </si>
  <si>
    <t>Fazio, Sergio.</t>
  </si>
  <si>
    <t>Contemporary Diagnosis and Management of Hypertension in African Americans</t>
  </si>
  <si>
    <t>RC685.H8 S255 2009eb</t>
  </si>
  <si>
    <t>African Americans--Diseases--Handbooks, manuals, etc.,Hypertension--Handbooks, manuals, etc.</t>
  </si>
  <si>
    <t>Saunders, Elijah.-Johnson, Wallace R.</t>
  </si>
  <si>
    <t>Contemporary Diagnosis and Management of Hypertension and Diabetes</t>
  </si>
  <si>
    <t>RC685.H8 B35 2009eb</t>
  </si>
  <si>
    <t>Diabetes--Diagnosis.,Diabetes--Treatment--Handbooks, manuals, etc.,Hypertension--Diagnosis.,Hypertension--Treatment--Handbooks, manuals, etc.</t>
  </si>
  <si>
    <t>Bakris, George L.</t>
  </si>
  <si>
    <t>Contemporary Diagnosis and Management of Hypertension</t>
  </si>
  <si>
    <t>RC685.H8 W4 2009eb</t>
  </si>
  <si>
    <t>Hypertension--Handbooks, manuals, etc.</t>
  </si>
  <si>
    <t>Weinberger, Myron H.</t>
  </si>
  <si>
    <t>Contemporary Diagnosis and Management of HIV/AIDS Infections</t>
  </si>
  <si>
    <t>HEALTH &amp; FITNESS / Diseases / AIDS &amp; HIV</t>
  </si>
  <si>
    <t>RC606.63 .M87 2009eb</t>
  </si>
  <si>
    <t>AIDS (Disease)--Handbooks, manuals, etc.</t>
  </si>
  <si>
    <t>Murphy, Robert L.-Taiwo, Babafemi O.-Flaherty, John P.</t>
  </si>
  <si>
    <t>Contemporary Diagnosis and Management of Heart Failure</t>
  </si>
  <si>
    <t>RC685.C53 G74 2005eb</t>
  </si>
  <si>
    <t>Heart failure--Handbooks, manuals, etc.</t>
  </si>
  <si>
    <t>Greenberg, Barry H.-Barnard, Denise D.</t>
  </si>
  <si>
    <t>Contemporary Diagnosis and Management of Headache and Migraine</t>
  </si>
  <si>
    <t>RC392 .D496 2000eb</t>
  </si>
  <si>
    <t>Headache--Handbooks, manuals, etc.,Migraine--Handbooks, manuals, etc.</t>
  </si>
  <si>
    <t>Diamond, Seymour-Diamond, Merle L.</t>
  </si>
  <si>
    <t>Contemporary Diagnosis and Management of H Pylori-associated Gastrointestinal Diseases</t>
  </si>
  <si>
    <t>RC840.H38 G73 2005eb</t>
  </si>
  <si>
    <t>Gastritis--Handbooks, manuals, etc.,Gastrointestinal system--Diseases--Handbooks, manuals, etc.,Helicobacter pylori infections--Handbooks, manuals, etc.,Peptic ulcer--Handbooks, manuals, etc.</t>
  </si>
  <si>
    <t>Graham, Kathleen S.-Graham, David Y.</t>
  </si>
  <si>
    <t>Contemporary Diagnosis and Management of Fungal Infections</t>
  </si>
  <si>
    <t>MEDICAL / Parasitology</t>
  </si>
  <si>
    <t>RC117 .S63 2009eb</t>
  </si>
  <si>
    <t>Mycoses.</t>
  </si>
  <si>
    <t>Sobel, Jack D.-VaÌzquez, JoseÌ A.</t>
  </si>
  <si>
    <t>Contemporary Diagnosis and Management of Functional Digestive Disorders</t>
  </si>
  <si>
    <t>RC801 .C655eb</t>
  </si>
  <si>
    <t>Digestive organs--Diseases.</t>
  </si>
  <si>
    <t>Jones, Michael P.-Crowell, Michael D.</t>
  </si>
  <si>
    <t>Contemporary Diagnosis and Management of Emerging Infections</t>
  </si>
  <si>
    <t>RC112 .S328 2006eb</t>
  </si>
  <si>
    <t>Emerging infectious diseases--Handbooks, manuals, etc.</t>
  </si>
  <si>
    <t>Contemporary Diagnosis and Management of Dyslipidemias in Women</t>
  </si>
  <si>
    <t>RC632.5.L5 M67 2009eb</t>
  </si>
  <si>
    <t>Cardiovascular system--Diseases--Risk factors--Handbooks, manuals, etc.,Lipids--Metabolism--Disorders--Sex factors--Handbooks, manuals, etc.,Women--Diseases--Handbooks, manuals, etc.,Women--Health and hygiene--Handbooks, manuals, etc.</t>
  </si>
  <si>
    <t>Mosca, Lori.</t>
  </si>
  <si>
    <t>Contemporary Diagnosis and Management of Diseases of the Prostate</t>
  </si>
  <si>
    <t>MEDICAL / Reproductive Medicine &amp; Technology</t>
  </si>
  <si>
    <t>RC899 .I85 2005eb</t>
  </si>
  <si>
    <t>Prostate--Cancer--Handbooks, manuals, etc.,Prostate--Diseases--Handbooks, manuals, etc.</t>
  </si>
  <si>
    <t>Issa, Muta M.-Marshall, Fray F.</t>
  </si>
  <si>
    <t>Contemporary Diagnosis and Management of Diabetic Foot Infections</t>
  </si>
  <si>
    <t>RD563 .G274 2006eb</t>
  </si>
  <si>
    <t>Diabetes--Complications.,Foot--Diseases.</t>
  </si>
  <si>
    <t>Garcia-Diaz, Julia B.-Gentry, Layne O.-Pankey, George A.</t>
  </si>
  <si>
    <t>Contemporary Diagnosis and Management of COPD</t>
  </si>
  <si>
    <t>RC776.O3 A69 2009eb</t>
  </si>
  <si>
    <t>Lungs--Diseases, Obstructive--Handbooks, manuals, etc.</t>
  </si>
  <si>
    <t>Anzueto, Antonio.-Martinez, Fernando J.</t>
  </si>
  <si>
    <t>Contemporary Diagnosis and Management of Community-acquired Pneumonia</t>
  </si>
  <si>
    <t>RC771 .C35 2006eb</t>
  </si>
  <si>
    <t>Pneumonia--Handbooks, manuals, etc.</t>
  </si>
  <si>
    <t>Campbell, G. Douglas.</t>
  </si>
  <si>
    <t>Contemporary Diagnosis and Management of Bronchitis</t>
  </si>
  <si>
    <t>HEALTH &amp; FITNESS / Diseases / Respiratory</t>
  </si>
  <si>
    <t>RC778 .A59 2006eb</t>
  </si>
  <si>
    <t>Bronchitis--Handbooks, manuals, etc.</t>
  </si>
  <si>
    <t>Anzueto, Antonio.</t>
  </si>
  <si>
    <t>Contemporary Diagnosis and Management of Breast Cancer</t>
  </si>
  <si>
    <t>RC280.B8 R378 2009eb</t>
  </si>
  <si>
    <t>Breast--Cancer--Handbooks, manuals, etc.</t>
  </si>
  <si>
    <t>Ratner, Lynn H.</t>
  </si>
  <si>
    <t>Contemporary Diagnosis and Management of Bladder Control Problems</t>
  </si>
  <si>
    <t>HEALTH &amp; FITNESS / Diseases / Genitourinary &amp; STDs</t>
  </si>
  <si>
    <t>RC921.I5 S495 2005eb</t>
  </si>
  <si>
    <t>Bladder--Diseases--Treatment.,Urinary stress incontinence.</t>
  </si>
  <si>
    <t>Serels, Scott R.-Appell, Rodney A.</t>
  </si>
  <si>
    <t>Contemporary Diagnosis and Management of Bipolar Disorders</t>
  </si>
  <si>
    <t>PSYCHOLOGY / Psychopathology / Bipolar Disorder</t>
  </si>
  <si>
    <t>RC516 .G47 2009eb</t>
  </si>
  <si>
    <t>Manic-depressive illness.</t>
  </si>
  <si>
    <t>Gershon, Samuel.-Chengappa, K. N. Roy.</t>
  </si>
  <si>
    <t>Contemporary Diagnosis and Management of Benign Prostatic Hyperplasia</t>
  </si>
  <si>
    <t>RC899 .R64 2009eb</t>
  </si>
  <si>
    <t>Benign prostatic hyperplasia.</t>
  </si>
  <si>
    <t>Roehrborn, C. G.</t>
  </si>
  <si>
    <t>Contemporary Diagnosis and Management of Attention-deficit/hyperactivity Disorder</t>
  </si>
  <si>
    <t>RJ506.H9 A765 2004eb</t>
  </si>
  <si>
    <t>Attention-deficit hyperactivity disorder--Diagnosis--Handbooks, manuals, etc.,Attention-deficit hyperactivity disorder--Treatment--Handbooks, manuals, etc.</t>
  </si>
  <si>
    <t>Arnold, L. Eugene</t>
  </si>
  <si>
    <t>Contemporary Diagnosis and Management of Anxiety Disorders</t>
  </si>
  <si>
    <t>PSYCHOLOGY / Psychopathology / Anxieties &amp; Phobias</t>
  </si>
  <si>
    <t>RC531 .N56 2006eb</t>
  </si>
  <si>
    <t>Anxiety disorders.</t>
  </si>
  <si>
    <t>Ninan, Philip T.-Dunlop, Boadie W.</t>
  </si>
  <si>
    <t>Contemporary Diagnosis and Management of Antimicrobial-resistant Bacteria</t>
  </si>
  <si>
    <t>MEDICAL / Microbiology</t>
  </si>
  <si>
    <t>QR177 .N67 2008eb</t>
  </si>
  <si>
    <t>Drug resistance in microorganisms.,Microorganisms--Effect of drugs on.</t>
  </si>
  <si>
    <t>Noskin, Gary A.</t>
  </si>
  <si>
    <t>Contemporary Diagnosis and Management of Anaerobic Infections</t>
  </si>
  <si>
    <t>QR201.A57 B76 2004eb</t>
  </si>
  <si>
    <t>Anaerobic infections.</t>
  </si>
  <si>
    <t>Brook, Itzhak.</t>
  </si>
  <si>
    <t>Contemporary Diagnosis and Management in Preventive Cardiology</t>
  </si>
  <si>
    <t>RC685.C6 M358 2009eb</t>
  </si>
  <si>
    <t>Coronary heart disease--Pathophysiology.,Coronary heart disease--Prevention.,Coronary heart disease--Risk factors.</t>
  </si>
  <si>
    <t>McBride, Patrick E.-Stein, James H.-Underbakke, Gail.</t>
  </si>
  <si>
    <t>Contemporary Diagnosis and Management in Cardiovascular Exercise</t>
  </si>
  <si>
    <t>RC684.E9 F73 2009eb</t>
  </si>
  <si>
    <t>Cardiovascular fitness--Handbooks, manuals, etc.,Coronary heart disease--Diagnosis--Handbooks, manuals, etc.,Heart--Diseases--Exercise therapy--Handbooks, manuals, etc.</t>
  </si>
  <si>
    <t>Franklin, Barry A.-Gordon, Neil F.</t>
  </si>
  <si>
    <t>A Patient's Handbook on Headache and Migraine</t>
  </si>
  <si>
    <t>RC392 .D527 2001eb</t>
  </si>
  <si>
    <t>A Family's Guide to Attention-deficit/hyperactivity Disorder</t>
  </si>
  <si>
    <t>RJ506.H9 A766 2004eb</t>
  </si>
  <si>
    <t>Attention-deficit disorder in adolescence.</t>
  </si>
  <si>
    <t>Parental Treatment and Mental Health of Personality</t>
  </si>
  <si>
    <t>RC451.4.S7 M37 2009eb</t>
  </si>
  <si>
    <t>College students--Mental health.,Families.</t>
  </si>
  <si>
    <t>Margitics, Ferenc.-Pauwlik, Zsuzsa.</t>
  </si>
  <si>
    <t>Health Psychology Research Focus Series</t>
  </si>
  <si>
    <t>Handbook of Food Additives</t>
  </si>
  <si>
    <t>TX553.A3 A84 2008eb</t>
  </si>
  <si>
    <t>Food additives--Handbooks, manuals, etc.</t>
  </si>
  <si>
    <t>Distributing Health Care</t>
  </si>
  <si>
    <t>Principles, Practices, and Policies</t>
  </si>
  <si>
    <t>RA393 .D57 2007eb</t>
  </si>
  <si>
    <t>Health services accessibility--Moral and ethical aspects.,Public health--Moral and ethical aspects.</t>
  </si>
  <si>
    <t>Maclean, Niall</t>
  </si>
  <si>
    <t>St. Andrews Studies in Philosophy and Public Affairs</t>
  </si>
  <si>
    <t>The Package Tour Industry</t>
  </si>
  <si>
    <t>MY Books</t>
  </si>
  <si>
    <t>G155.G7 C63 2003eb</t>
  </si>
  <si>
    <t>Package tours--Great Britain--History--20th century.</t>
  </si>
  <si>
    <t>Cobb, Vincent.</t>
  </si>
  <si>
    <t>Contemporary Guide to Adult ADHD</t>
  </si>
  <si>
    <t>RC394.A85 Y68 2009eb</t>
  </si>
  <si>
    <t>Attention-deficit disorder in adults--Handbooks, manuals, etc.,Attention-deficit hyperactivity disorder--Handbooks, manuals, etc.</t>
  </si>
  <si>
    <t>Young, Joel L.</t>
  </si>
  <si>
    <t>Contemporary Diagnosis and Management of Allergic Diseases and Asthma</t>
  </si>
  <si>
    <t>HEALTH &amp; FITNESS / Allergies</t>
  </si>
  <si>
    <t>RC585 .G469 2009eb</t>
  </si>
  <si>
    <t>Allergy--Handbooks, manuals, etc.,Asthma--Handbooks, manuals, etc.</t>
  </si>
  <si>
    <t>Gern, James E.-Busse, W. W.</t>
  </si>
  <si>
    <t>Contemporary Diagnosis and Management of Acute Coronary Syndromes</t>
  </si>
  <si>
    <t>RC685.C6 C26 2008eb</t>
  </si>
  <si>
    <t>Coronary heart disease--Handbooks, manuals, etc.</t>
  </si>
  <si>
    <t>Cannon, Christopher P.</t>
  </si>
  <si>
    <t>Antimicrobial Therapy Guide</t>
  </si>
  <si>
    <t>RS125 .M53 2009eb</t>
  </si>
  <si>
    <t>Anti-infective agents.,Medicine--Formulae, receipts, prescriptions.</t>
  </si>
  <si>
    <t>Meyers, Burt R.</t>
  </si>
  <si>
    <t>Quantum Frontiers of Atoms and Molecules</t>
  </si>
  <si>
    <t>QD461 .Q36 2009eb</t>
  </si>
  <si>
    <t>Chemical bonds--Mathematical models.,Dirac equation.,Quantum chemistry.</t>
  </si>
  <si>
    <t>Putz, Mihai V.</t>
  </si>
  <si>
    <t>Chemistry Research and Applications</t>
  </si>
  <si>
    <t>Handbook of Green Chemicals</t>
  </si>
  <si>
    <t>SCIENCE / Chemistry / Industrial &amp; Technical</t>
  </si>
  <si>
    <t>TP155 .A755 2004eb</t>
  </si>
  <si>
    <t>Chemical industry--Environmental aspects--Handbooks, manuals, etc.,Environmental management--Handbooks, manuals, etc.,Green chemistry--Handbooks, manuals, etc.</t>
  </si>
  <si>
    <t>Handbook of Pharmaceutical Additives</t>
  </si>
  <si>
    <t>MEDICAL / Pharmacy</t>
  </si>
  <si>
    <t>RS201.E87 H35 2007eb</t>
  </si>
  <si>
    <t>Excipients--Directories.,Excipients--Handbooks, manuals, etc.</t>
  </si>
  <si>
    <t>Ash, Irene.-Ash, Michael.</t>
  </si>
  <si>
    <t>Understanding Buddhism</t>
  </si>
  <si>
    <t>BQ4012 .S33 2006eb</t>
  </si>
  <si>
    <t>Schmidt-Leukel, Perry.</t>
  </si>
  <si>
    <t>Viking Kings of Britain and Ireland</t>
  </si>
  <si>
    <t>The Dynasty of IÌvarr to A.D. 1014</t>
  </si>
  <si>
    <t>DA158 .D69 2008eb</t>
  </si>
  <si>
    <t>Vikings--Great Britain.,Vikings--Ireland.</t>
  </si>
  <si>
    <t>Downham, Clare.</t>
  </si>
  <si>
    <t>Understanding Hinduism</t>
  </si>
  <si>
    <t>BL1210 .W43 2010eb</t>
  </si>
  <si>
    <t>Hinduism.</t>
  </si>
  <si>
    <t>Whaling, Frank</t>
  </si>
  <si>
    <t>The Student Voice</t>
  </si>
  <si>
    <t>An Introduction to Developing the Singing Voice</t>
  </si>
  <si>
    <t>MUSIC / Instruction &amp; Study / Voice</t>
  </si>
  <si>
    <t>MT885 .B164 2010eb</t>
  </si>
  <si>
    <t>Singing.,Singing--Studies and exercises.</t>
  </si>
  <si>
    <t>Baldy, Colin.</t>
  </si>
  <si>
    <t>Community Education, Learning and Development</t>
  </si>
  <si>
    <t>LC1036.8 .T48 2010eb</t>
  </si>
  <si>
    <t>Community education--Great Britain.,Continuing education--Great Britain.,Marginality, Social--Great Britain.</t>
  </si>
  <si>
    <t>Tett, Lyn-Fyfe, Ian.</t>
  </si>
  <si>
    <t>The Knowledge Translation Toolkit</t>
  </si>
  <si>
    <t>Bridging the Know-do Gap: a Resource for Researchers</t>
  </si>
  <si>
    <t>International Development Research Centre</t>
  </si>
  <si>
    <t>REFERENCE / Research</t>
  </si>
  <si>
    <t>Q180.55.M4 B4135 2011eb</t>
  </si>
  <si>
    <t>Communication in science.,Evaluation.,Knowledge management.,Research--Methodology.,Research--Social aspects.</t>
  </si>
  <si>
    <t>Bennett, Gavin.-Jessani, Nasreen.</t>
  </si>
  <si>
    <t>Experimental Leukemia</t>
  </si>
  <si>
    <t>History, Biology and Genetics</t>
  </si>
  <si>
    <t>RC643 .S84 2009eb</t>
  </si>
  <si>
    <t>Leukemia in animals.,Leukemia.,Leukemia--Research.,Oncology, Experimental.</t>
  </si>
  <si>
    <t>Sugiyama, Taketoshi.</t>
  </si>
  <si>
    <t>Organ and Tissue Donation</t>
  </si>
  <si>
    <t>RD129.5 .O74 2011eb</t>
  </si>
  <si>
    <t>Donation of organs, tissues, etc--Australia.,Donation of organs, tissues, etc--Moral and ethical aspects--Australia.</t>
  </si>
  <si>
    <t>The Way I See It</t>
  </si>
  <si>
    <t>RELIGION / Christianity / Anglican</t>
  </si>
  <si>
    <t>BR1725.F45 A3 2010eb</t>
  </si>
  <si>
    <t>Christian biography--Great Britain.,English--History--20th century--Biography.</t>
  </si>
  <si>
    <t>Field, Henry A.</t>
  </si>
  <si>
    <t>Eli's Secret</t>
  </si>
  <si>
    <t>PR6112.E95 E45 2010eb</t>
  </si>
  <si>
    <t>Romanies--Wales--Fiction.</t>
  </si>
  <si>
    <t>Lewis, D. M.</t>
  </si>
  <si>
    <t>Workmanship Standards Manual</t>
  </si>
  <si>
    <t>Quality Assurance</t>
  </si>
  <si>
    <t>TECHNOLOGY &amp; ENGINEERING / Electronics / Digital</t>
  </si>
  <si>
    <t>TK451.A2 S57 1997eb</t>
  </si>
  <si>
    <t>Electric industries--Quality control.,Electric wiring--Standards.,Workmanship.</t>
  </si>
  <si>
    <t>Skipp, Ray.-Heydn, Andrew.</t>
  </si>
  <si>
    <t>The Adventures of an Itinerant Engineer</t>
  </si>
  <si>
    <t>TA140.Y65 Y68 2010eb</t>
  </si>
  <si>
    <t>Civil engineering--Africa--History--20th century.,Civil engineers--Africa--Biography.,Civil engineers--Great Britain--Biography.</t>
  </si>
  <si>
    <t>Young, Douglas</t>
  </si>
  <si>
    <t>Choiceless Awareness</t>
  </si>
  <si>
    <t>A Study Book of the Teachings of J. Krishnamurti</t>
  </si>
  <si>
    <t>PHILOSOPHY / Hindu</t>
  </si>
  <si>
    <t>B5134.K751 P38 2007eb</t>
  </si>
  <si>
    <t>Awareness.,Meditation.,Philosophy.,Self.,Self-perception.,Spiritual life.</t>
  </si>
  <si>
    <t>Krishnamurti, J.-Patterson, Albion W.</t>
  </si>
  <si>
    <t>Clinical Audit for Doctors</t>
  </si>
  <si>
    <t>M-Y Ebooks Herford Ltd</t>
  </si>
  <si>
    <t>MEDICAL / Administration</t>
  </si>
  <si>
    <t>RA399.G7 K43 2009eb</t>
  </si>
  <si>
    <t>Medical audit--England.</t>
  </si>
  <si>
    <t>Keane, Margaret G.-Ghosh, Robert.-Dhamija, Bhoresh.-Low, Chen Sheng.</t>
  </si>
  <si>
    <t>Progressing Your Medical Career Series</t>
  </si>
  <si>
    <t>Commentaries on Living</t>
  </si>
  <si>
    <t>From the Notebooks of J. Krishnamurti</t>
  </si>
  <si>
    <t>BJ1012 .K75eb vol. 1</t>
  </si>
  <si>
    <t>Ethics.,Philosophy, Indic.</t>
  </si>
  <si>
    <t>Krishnamurti, J.</t>
  </si>
  <si>
    <t>Commentaries On Living 2</t>
  </si>
  <si>
    <t>Krishnamurti Foundation America</t>
  </si>
  <si>
    <t>BJ1012 .K75eb vol. 2</t>
  </si>
  <si>
    <t>Commentaries On Living 3</t>
  </si>
  <si>
    <t>BJ1012 .K75eb vol. 3</t>
  </si>
  <si>
    <t>Is It an Omen?</t>
  </si>
  <si>
    <t>HC252.5.S75 A3 2005eb</t>
  </si>
  <si>
    <t>Agoraphobia--Patients--Great Britain--Biography.,Businesspeople--Great Britain--Biography.,Spiritualism.</t>
  </si>
  <si>
    <t>Stickland, Stella.</t>
  </si>
  <si>
    <t>Relationships</t>
  </si>
  <si>
    <t>To Oneself, to Others, to the World</t>
  </si>
  <si>
    <t>BJ1661 .K75 2007eb</t>
  </si>
  <si>
    <t>Interpersonal relations.,Teenagers--Conduct of life.</t>
  </si>
  <si>
    <t>Books on Living for Teens</t>
  </si>
  <si>
    <t>Soldiers in Silsden 1939-45</t>
  </si>
  <si>
    <t>DA690.S59 R64 2008eb</t>
  </si>
  <si>
    <t>World War, 1939-1945--England--Silsden.</t>
  </si>
  <si>
    <t>Rogers, Joseph.-Rogers, David.</t>
  </si>
  <si>
    <t>The Audacity of Cyberspace</t>
  </si>
  <si>
    <t>The Struggle for Internet Power</t>
  </si>
  <si>
    <t>HM851 .B53 2008eb</t>
  </si>
  <si>
    <t>Digital divide.,Internet--Social aspects.,Technology and blacks.</t>
  </si>
  <si>
    <t>Blair, Thomas L.</t>
  </si>
  <si>
    <t>Workplace-Based Assessments in Psychiatry</t>
  </si>
  <si>
    <t>RC467.8 .W67 2011eb</t>
  </si>
  <si>
    <t>Psychiatrists--Rating of.,Psychiatry--Examinations.</t>
  </si>
  <si>
    <t>Brittlebank, Andrew.-Bhugra, Dinesh.-Malik, Amit.</t>
  </si>
  <si>
    <t>College Seminars Series</t>
  </si>
  <si>
    <t>International Perspectives on Mental Health</t>
  </si>
  <si>
    <t>RA790.5 .I57 2011eb</t>
  </si>
  <si>
    <t>Mental health services.,Mental health services--Statistics.</t>
  </si>
  <si>
    <t>Ghodse, Hamid.</t>
  </si>
  <si>
    <t>Intelligent Kindness</t>
  </si>
  <si>
    <t>Reforming the Culture of Healthcare</t>
  </si>
  <si>
    <t>R727.3 .B35 2011eb</t>
  </si>
  <si>
    <t>Kindness.,Medical care--Great Britain--Psychological aspects.,Medical ethics--Great Britain.,Medical personnel and patient--Great Britain.,Medical personnel--Great Britain--Attitudes.</t>
  </si>
  <si>
    <t>Ballatt, John.-Campling, Penelope.</t>
  </si>
  <si>
    <t>The Ultimate Quotable Einstein</t>
  </si>
  <si>
    <t>Princeton University Press</t>
  </si>
  <si>
    <t>QC16.E5 A25 2011eb</t>
  </si>
  <si>
    <t>Einstein, Albert-Calaprice, Alice.</t>
  </si>
  <si>
    <t>Ecological Approaches to Health</t>
  </si>
  <si>
    <t>Interactions Between Humans and Their Environment</t>
  </si>
  <si>
    <t>RA566 .D855 2009eb</t>
  </si>
  <si>
    <t>Ecology.,Environmental health.,Human ecology--Health aspects.</t>
  </si>
  <si>
    <t>Dumont, Claire</t>
  </si>
  <si>
    <t>Electron Beam Modification of Solids</t>
  </si>
  <si>
    <t>Mechanisms, Common Features and Promising Applications</t>
  </si>
  <si>
    <t>TA418.6 .E345 2009eb</t>
  </si>
  <si>
    <t>Electron beams.,Ion bombardment.,Materials--Effect of radiation on.,Solids--Effect of radiation on.</t>
  </si>
  <si>
    <t>Vasiljeva, Inna V.-Sychov, Maxim M.-Mjakin, Sergey V.</t>
  </si>
  <si>
    <t>Condensed Matter Research and Technology Series</t>
  </si>
  <si>
    <t>Drug Resistant Neoplasms</t>
  </si>
  <si>
    <t>RC271.C5 D778 2009eb</t>
  </si>
  <si>
    <t>Drug resistance in cancer cells.</t>
  </si>
  <si>
    <t>Verrite, Ethan G.</t>
  </si>
  <si>
    <t>Cancer Etiology, Diagnosis and Treatments Series</t>
  </si>
  <si>
    <t>Place the Headstones Where They Belong</t>
  </si>
  <si>
    <t>Thomas Neibaur, World War 1 Soldier</t>
  </si>
  <si>
    <t>Utah State University Press</t>
  </si>
  <si>
    <t>D548 .F52 2008eb</t>
  </si>
  <si>
    <t>Medal of Honor--Biography.,Mormons--Idaho--Biography.,Soldiers--United States--Biography.,World War, 1914-1918--Campaigns--France.,World War, 1914-1918--Participation, Mormon.</t>
  </si>
  <si>
    <t>Fleek, Sherman L.</t>
  </si>
  <si>
    <t>D-amino Acids</t>
  </si>
  <si>
    <t>Practical Methods and Protocols</t>
  </si>
  <si>
    <t>QD431.25.A53 D2 2009eb</t>
  </si>
  <si>
    <t>Amino acids--Analysis.,Enantiomers--Analysis.</t>
  </si>
  <si>
    <t>Konno, Ryuichi.</t>
  </si>
  <si>
    <t>D-amino Acids: Practical Methods and Protocols Series</t>
  </si>
  <si>
    <t>Cyclic Beta-keto Esters</t>
  </si>
  <si>
    <t>Synthesis and Reactions</t>
  </si>
  <si>
    <t>QD305.K2 M58 2009eb</t>
  </si>
  <si>
    <t>Esters.,Ketones.,Organic cyclic compounds.</t>
  </si>
  <si>
    <t>Metwally, M.A.-Sadek, E. G.</t>
  </si>
  <si>
    <t>CPanel User Guide and Tutorial</t>
  </si>
  <si>
    <t>REFERENCE / General</t>
  </si>
  <si>
    <t>TK5105.888 .P43 2006eb</t>
  </si>
  <si>
    <t>Web hosting--Computer programs.,Web site development--Computer programs.,Web sites--Management--Computer programs.</t>
  </si>
  <si>
    <t>Pedersen, Aric.</t>
  </si>
  <si>
    <t>Building Websites with Mambo</t>
  </si>
  <si>
    <t>TK5105.8885.M46 G7 2005eb</t>
  </si>
  <si>
    <t>Database management.,Internet programming.,Open source software.,Web site development.,Web sites--Design.</t>
  </si>
  <si>
    <t>Graf, Hagen</t>
  </si>
  <si>
    <t>Mastering Mambo</t>
  </si>
  <si>
    <t>E-commerce, Templates, Module Development, SEO, Security, and Performance: a Professional Guide to Mambo's Most Powerful and Useful Features</t>
  </si>
  <si>
    <t>TK5105.888 .H387 2005eb</t>
  </si>
  <si>
    <t>Database management.,Internet programming.,Mambo (Web site development tool),Open source software.,Web site development.,Web sites--Design.</t>
  </si>
  <si>
    <t>Hauser, Tobias.-Wenz, Christian.</t>
  </si>
  <si>
    <t>Historical Dictionary of the Olympic Movement</t>
  </si>
  <si>
    <t>SPORTS &amp; RECREATION / Olympics &amp; Paralympics</t>
  </si>
  <si>
    <t>GV721.5 .B83 2011eb</t>
  </si>
  <si>
    <t>Olympics--History--Dictionaries.,Olympics--Records.</t>
  </si>
  <si>
    <t>Mallon, Bill.-Heijmans, Jeroen.-Buchanan, Ian</t>
  </si>
  <si>
    <t>The Search for the Self</t>
  </si>
  <si>
    <t>Selected Writings of Heinz Kohut 1978-1981</t>
  </si>
  <si>
    <t>BF697 .K64 2011eb</t>
  </si>
  <si>
    <t>Self.</t>
  </si>
  <si>
    <t>Kohut, Heinz.</t>
  </si>
  <si>
    <t>Anthropology at the Front Lines of Gender-based Violence</t>
  </si>
  <si>
    <t>Vanderbilt University Press</t>
  </si>
  <si>
    <t>SOCIAL SCIENCE / Violence in Society</t>
  </si>
  <si>
    <t>GN495.2 .A567 2011eb</t>
  </si>
  <si>
    <t>Abused women--Cross-cultural studies.,Family violence--Cross-cultural studies.,Violence--Cross-cultural studies.,Women--Violence against--Cross-cultural studies.</t>
  </si>
  <si>
    <t>Haldane, Hillary J.-Wies, Jennifer R.</t>
  </si>
  <si>
    <t>Deviant and Useful Citizens</t>
  </si>
  <si>
    <t>The Cultural Production of the Female Body in Eighteenth-century Peru</t>
  </si>
  <si>
    <t>POLITICAL SCIENCE / Public Policy / Cultural Policy</t>
  </si>
  <si>
    <t>HQ1572 .M45 2011eb</t>
  </si>
  <si>
    <t>Body image in women--Peru--History--18th century.,Sex role--Peru--History--18th century.,Women--Peru--Social conditions.</t>
  </si>
  <si>
    <t>MeleÌndez, Mariselle</t>
  </si>
  <si>
    <t>Higglers in Kingston</t>
  </si>
  <si>
    <t>Women's Informal Work in Jamaica</t>
  </si>
  <si>
    <t>POLITICAL SCIENCE / Labor &amp; Industrial Relations</t>
  </si>
  <si>
    <t>HF5459.J25 B76 2011eb</t>
  </si>
  <si>
    <t>Informal sector (Economics)--Jamaica--Kingston.,Small business--Jamaica--Kingston.,Social status--Jamaica--Kingston.,Street vendors--Jamaica--Kingston.,Women merchants--Jamaica--Kingston.,Women's studies--Jamaica--Kingston.</t>
  </si>
  <si>
    <t>Brown-Glaude, Winnifred R.</t>
  </si>
  <si>
    <t>Additive Schooling in Subtractive Times</t>
  </si>
  <si>
    <t>Bilingual Education and Dominican Immigrant Youth in the Heights</t>
  </si>
  <si>
    <t>EDUCATION / Bilingual Education</t>
  </si>
  <si>
    <t>LC3733.N5 B37 2011eb</t>
  </si>
  <si>
    <t>Dominican Americans--Education (Secondary)--New York (State)--New York.,Education, Bilingual--New York (State)--New York.</t>
  </si>
  <si>
    <t>Bartlett, Lesley.-GarciÌa, Ofelia.</t>
  </si>
  <si>
    <t>Building Websites with Joomla! V1.0</t>
  </si>
  <si>
    <t>COMPUTERS / Web / Design</t>
  </si>
  <si>
    <t>TK5105.888 .G72 2006eb</t>
  </si>
  <si>
    <t>TrixBox Made Easy</t>
  </si>
  <si>
    <t>A Step-by-step Guide to Installing and Running Your Home and Office VoIP System</t>
  </si>
  <si>
    <t>COMPUTERS / Networking / Vendor Specific</t>
  </si>
  <si>
    <t>TK5105.8865 D46 2006eb</t>
  </si>
  <si>
    <t>Internet telephony.</t>
  </si>
  <si>
    <t>Dempster, Barrie.-Garrison, Kerry.</t>
  </si>
  <si>
    <t>PhpBB: A User Guide</t>
  </si>
  <si>
    <t>COMPUTERS / Web / Web Programming</t>
  </si>
  <si>
    <t>QA76.73.P224 S744 2006eb</t>
  </si>
  <si>
    <t>SQL (Computer program language),Web site development.,Web sites--Design.</t>
  </si>
  <si>
    <t>Stefanov, Stoyan.-Rogers, Jeremy.</t>
  </si>
  <si>
    <t>AJAX and PHP</t>
  </si>
  <si>
    <t>Building Responsive Web Applications</t>
  </si>
  <si>
    <t>COMPUTERS / Programming Languages / JavaScript</t>
  </si>
  <si>
    <t>TK5105.8885.A52 A33 2006eb</t>
  </si>
  <si>
    <t>Ajax (Web site development technology),JavaScript (Computer program language),PHP (Computer program language),Web site development.</t>
  </si>
  <si>
    <t>Darie, Cristian.</t>
  </si>
  <si>
    <t>Drupal</t>
  </si>
  <si>
    <t>Creating Blogs, Forums, Portals, and Community Websites: How to Setup, Configure, and Customize This Powerful PHP/MySQL-based Open Source CMS</t>
  </si>
  <si>
    <t>TK5105.8885.D78 M47 2006eb</t>
  </si>
  <si>
    <t>Blogs.,Database management.,Internet programming.,Open source software.,Web site development.,Web sites--Design.</t>
  </si>
  <si>
    <t>Mercer, David.</t>
  </si>
  <si>
    <t>PHP Programming with PEAR</t>
  </si>
  <si>
    <t>QA76.73.P224 P56 2006eb</t>
  </si>
  <si>
    <t>PHP (Computer program language),Web databases--Design.,Web site development.</t>
  </si>
  <si>
    <t>Schmidt, Stephan.</t>
  </si>
  <si>
    <t>Web Host Manager Administration Guide</t>
  </si>
  <si>
    <t>Run Your Web Host with the Popular Web Host Manager Software</t>
  </si>
  <si>
    <t>TK5105.8883 .P43 2006eb</t>
  </si>
  <si>
    <t>Web hosting--Software.,Web servers.,Web site development.</t>
  </si>
  <si>
    <t>Building Websites with XOOPS</t>
  </si>
  <si>
    <t>A Step-by-step Tutorial: Getting Your XOOPS Website up Fast Using This Easy-to-follow Guide</t>
  </si>
  <si>
    <t>TK5105.8885.X66 A89 2006eb</t>
  </si>
  <si>
    <t>Database management.,Internet programming.,Open source software.,Web site development.</t>
  </si>
  <si>
    <t>Atwal, Steve</t>
  </si>
  <si>
    <t>Building Websites with VB.NET and DotNetNuke 3.0</t>
  </si>
  <si>
    <t>TK5105.8885.V2 E436 2005</t>
  </si>
  <si>
    <t>Internet programming.,Visual Basic (Computer program language),Web portals--Design.,Web sites--Design.</t>
  </si>
  <si>
    <t>Egan, Daniel N.</t>
  </si>
  <si>
    <t>Building Telephony Systems With Asterisk</t>
  </si>
  <si>
    <t>TK5105.8865 .G65 2005eb</t>
  </si>
  <si>
    <t>Computer networks.,Internet telephony.</t>
  </si>
  <si>
    <t>Gomillion, David.-Dempster, Barrie.</t>
  </si>
  <si>
    <t>Building Online Communities with PhpBB 2</t>
  </si>
  <si>
    <t>QA76.9.B84 S74 2005eb</t>
  </si>
  <si>
    <t>Stefanov, Stoyan.-Lothar, Mike.-Rogers, Jeremy.</t>
  </si>
  <si>
    <t>Alfresco</t>
  </si>
  <si>
    <t>Enterprise Content Management Implementation: How to Install, Use, and Customize This Powerful, Free, Open-source Java-based Enterprise CMS</t>
  </si>
  <si>
    <t>TK5105.888 .S53 2006eb</t>
  </si>
  <si>
    <t>Business enterprises--Data processing.,Electronic commerce--Management.,Enterprise application integration (Computer syste</t>
  </si>
  <si>
    <t>Shariff, Munwar.-Walker, Mike W.</t>
  </si>
  <si>
    <t>OpenVPN: Building and Integrating Virtual Private Networks</t>
  </si>
  <si>
    <t>COMPUTERS / Web / General</t>
  </si>
  <si>
    <t>TK5105.875.E87 F45 2006eb</t>
  </si>
  <si>
    <t>Extranets (Computer networks)</t>
  </si>
  <si>
    <t>Feilner, Markus.</t>
  </si>
  <si>
    <t>Smarty</t>
  </si>
  <si>
    <t>PHP Template Programming and Applications: a Step-by-step Guide to Building PHP Web Sites and Applications Using the Smarty Templating Engine</t>
  </si>
  <si>
    <t>COMPUTERS / Programming Languages / VBScript</t>
  </si>
  <si>
    <t>TK5105.888 .P73 2006eb</t>
  </si>
  <si>
    <t>PHP (Computer program language),Web site development.,Web sites--Design.</t>
  </si>
  <si>
    <t>Prado Maia, JoaÌƒo.-Gheorghe, Lucian.-Hayder, Hasin.</t>
  </si>
  <si>
    <t>Reconstructing the Science of Heat for Better Teaching and Learning</t>
  </si>
  <si>
    <t>QC261 .L58 2009eb</t>
  </si>
  <si>
    <t>Thermodynamics--Study and teaching (Secondary)</t>
  </si>
  <si>
    <t>Liu, Shu-Chiu.</t>
  </si>
  <si>
    <t>Multiple Family Therapy</t>
  </si>
  <si>
    <t>The Marlborough Model and Its Wider Applications</t>
  </si>
  <si>
    <t>RC488.5 .A84 2001eb</t>
  </si>
  <si>
    <t>Dysfunctional families.,Family psychotherapy.,Family psychotherapy--England--London.</t>
  </si>
  <si>
    <t>Asen, Eia-McHugh, Brenda.-Dawson, Neil.</t>
  </si>
  <si>
    <t>Systemic Thinking and Practice Series</t>
  </si>
  <si>
    <t>Practical Rapid ECG Interpretation (PREI)</t>
  </si>
  <si>
    <t>RC683.5.E5 K57 2009eb</t>
  </si>
  <si>
    <t>Electrocardiography.</t>
  </si>
  <si>
    <t>Kocheril, Abraham G.-Sovari, Ali A.</t>
  </si>
  <si>
    <t>Cardiology Research and Clinical Developments</t>
  </si>
  <si>
    <t>Attack of the Difficult Poems</t>
  </si>
  <si>
    <t>Essays and Inventions</t>
  </si>
  <si>
    <t>PN1042 .B475 2011eb</t>
  </si>
  <si>
    <t>Poetry--Appreciation.,Poetry--Explication.</t>
  </si>
  <si>
    <t>Bernstein, Charles</t>
  </si>
  <si>
    <t>Teaching Psychiatry to Undergraduates</t>
  </si>
  <si>
    <t>RC459.5.G7 T43 2011eb</t>
  </si>
  <si>
    <t>Psychiatry--Study and teaching (Higher)--Great Britain.</t>
  </si>
  <si>
    <t>Eagles, John.-Brown, Tom.</t>
  </si>
  <si>
    <t>A Promise in Haiti</t>
  </si>
  <si>
    <t>A Reporter's Notes on Families and Daily Lives</t>
  </si>
  <si>
    <t>HC153.Z7 G66 2011eb</t>
  </si>
  <si>
    <t>Disasters--Haiti--GonaiÂ¨ves.,Poor--Haiti--GonaiÂ¨ves.</t>
  </si>
  <si>
    <t>Curnutte, Mark.</t>
  </si>
  <si>
    <t>Some of the People Who Ate My Barbecue Didn't Vote for Me</t>
  </si>
  <si>
    <t>The Life of Georgia Governor Marvin Griffin</t>
  </si>
  <si>
    <t>F291.3.G75 B83 2011eb</t>
  </si>
  <si>
    <t>Governors--Georgia--Biography.</t>
  </si>
  <si>
    <t>Buchanan, Scott E.</t>
  </si>
  <si>
    <t>"My Nerves Are Bad"</t>
  </si>
  <si>
    <t>Puerto Rican Women Managing Mental Illness and HIV Risk</t>
  </si>
  <si>
    <t>MEDICAL / AIDS &amp; HIV</t>
  </si>
  <si>
    <t>RA643.84.O3 L68 2011eb</t>
  </si>
  <si>
    <t>AIDS (Disease)--Ohio.,Mentally ill--Health and hygiene--Ohio.,Puerto Rican women--Health and hygiene--Ohio.,Puerto Rican women--Mental health--Ohio.</t>
  </si>
  <si>
    <t>Loue, Sana.</t>
  </si>
  <si>
    <t>The Woman in the Violence</t>
  </si>
  <si>
    <t>Gender, Poverty, and Resistance in Peru</t>
  </si>
  <si>
    <t>FAMILY &amp; RELATIONSHIPS / Abuse / Elder Abuse</t>
  </si>
  <si>
    <t>HV6250.4.W65 A499 2010eb</t>
  </si>
  <si>
    <t>Poor women--Peru--Lima.,Women--Violence against--Peru--Lima.</t>
  </si>
  <si>
    <t>Alcalde, M. Cristina.</t>
  </si>
  <si>
    <t>Artful Assassins</t>
  </si>
  <si>
    <t>Murder As Art in Modern Mexico</t>
  </si>
  <si>
    <t>PQ7207.D48 S36 2010eb</t>
  </si>
  <si>
    <t>Assassination in literature.,Detective and mystery films--Mexico--History and criticism.,Detective and mystery stories, Mexican--History and criticism.,Literature and revolutions--Mexico--History--20th century.,Murder in literature.,Murder in motion pictures.,National characteristics, Mexican, in literature.</t>
  </si>
  <si>
    <t>SaÌnchez, Fernando Fabio-Clark, Stephen John</t>
  </si>
  <si>
    <t>Family Secrets</t>
  </si>
  <si>
    <t>Risking Reproduction in Central Mozambique</t>
  </si>
  <si>
    <t>RG966.M85 C53 2010eb</t>
  </si>
  <si>
    <t>Health behavior--Mozambique.,Maternal health services--Utilization--Mozambique.,Pregnant women--Mozambique.</t>
  </si>
  <si>
    <t>Chapman, Rachel Rebekah</t>
  </si>
  <si>
    <t>New Spain, New Literatures</t>
  </si>
  <si>
    <t>PQ6072 .N495 2010eb</t>
  </si>
  <si>
    <t>Cultural pluralism in literature.,Cultural pluralism--Spain.,Literature and society--Spain--History--20th century.,Politics and literature--Spain--History--20th century.,Spanish literature--20th century--History and criticism.,Spanish literature--Minority authors--History and criticism.</t>
  </si>
  <si>
    <t>Spadaccini, Nicholas.-MartiÌn-Estudillo, Luis.</t>
  </si>
  <si>
    <t>Hispanic Issues</t>
  </si>
  <si>
    <t>Tropes of Enlightenment in the Age of BoliÌvar</t>
  </si>
  <si>
    <t>SimoÌn RodriÌguez and the American Essay at Revolution</t>
  </si>
  <si>
    <t>HISTORY / Latin America / South America</t>
  </si>
  <si>
    <t>F2235.5.R6 B75 2010eb</t>
  </si>
  <si>
    <t>Briggs, Ronald</t>
  </si>
  <si>
    <t>Obesity Among Poor Americans</t>
  </si>
  <si>
    <t>Is Public Assistance the Problem?</t>
  </si>
  <si>
    <t>MEDICAL / Bariatrics</t>
  </si>
  <si>
    <t>RC628 .S6415 2009eb</t>
  </si>
  <si>
    <t>Obesity--Social aspects--United States.,Obesity--United States--Etiology.,Poverty--Health aspects--United States.,Public welfare--United States.</t>
  </si>
  <si>
    <t>Smith, Patricia K.</t>
  </si>
  <si>
    <t>The Integrated Physical Security Handbook</t>
  </si>
  <si>
    <t>Government Training Inc.</t>
  </si>
  <si>
    <t>Government Training, Inc.</t>
  </si>
  <si>
    <t>BUSINESS &amp; ECONOMICS / Organizational Development</t>
  </si>
  <si>
    <t>TH9705 .P55 2011eb</t>
  </si>
  <si>
    <t>Buildings--Security measures--Handbooks, manuals, etc.,Civil defense--United States--Handbooks, manuals, etc.,Emergency management--United States--Handbooks, manuals, etc.,Terrorism--United States--Prevention--Handbooks, manuals, etc.</t>
  </si>
  <si>
    <t>Philpott, Don-Einstein, Shuki.</t>
  </si>
  <si>
    <t>New Trends in Quantum Coherence and Nonlinear Optics</t>
  </si>
  <si>
    <t>SCIENCE / Physics / Optics &amp; Light</t>
  </si>
  <si>
    <t>QC476.C6 D73 2009eb</t>
  </si>
  <si>
    <t>Coherence (Optics),Nonlinear optics.</t>
  </si>
  <si>
    <t>Drampyan, Rafael.</t>
  </si>
  <si>
    <t>Horizons in World Physics Series</t>
  </si>
  <si>
    <t>Winnicott Studies</t>
  </si>
  <si>
    <t>BF173.A2 W56 1996eb</t>
  </si>
  <si>
    <t>Spurling, Laurence-Squiggle Foundation.</t>
  </si>
  <si>
    <t>The Winnicott Studies Monograph Series</t>
  </si>
  <si>
    <t>SAS for Linear Models</t>
  </si>
  <si>
    <t>MATHEMATICS / Probability &amp; Statistics / Multivariate Analysis</t>
  </si>
  <si>
    <t>QA276.4 .L58 2002eb</t>
  </si>
  <si>
    <t>Linear models (Statistics)--Data processing.</t>
  </si>
  <si>
    <t>Littell, Ramon C.-Freund, Rudolf J.-Stroup, Walter W.</t>
  </si>
  <si>
    <t>When Nurses Hurt Nurses: Overcoming the Cycle of Nurse Bullying</t>
  </si>
  <si>
    <t>RT86 .D45 2011eb</t>
  </si>
  <si>
    <t>Bullying in the workplace.,Interprofessional relations.,Nurses--Psychology.</t>
  </si>
  <si>
    <t>Dellasega, Cheryl.-Sigma Theta Tau International.</t>
  </si>
  <si>
    <t>HIV and AIDS</t>
  </si>
  <si>
    <t>RA643.8 .H58 2011eb</t>
  </si>
  <si>
    <t>AIDS (Disease),AIDS (Disease)--Australia.,HIV infections.,HIV infections--Australia.</t>
  </si>
  <si>
    <t>Handbook of U.S. Labor Statistics 2011</t>
  </si>
  <si>
    <t>Employment, Earnings, Prices, Productivity, and Other Labor Data</t>
  </si>
  <si>
    <t>Bernan Press</t>
  </si>
  <si>
    <t>BUSINESS &amp; ECONOMICS / Statistics</t>
  </si>
  <si>
    <t>HD8064 .H36 2011eb</t>
  </si>
  <si>
    <t>Labor--United States--Statistics.</t>
  </si>
  <si>
    <t>Ryan, Mary Meghan.</t>
  </si>
  <si>
    <t>U.S. Databook Series</t>
  </si>
  <si>
    <t>Fela</t>
  </si>
  <si>
    <t>This Bitch of a Life</t>
  </si>
  <si>
    <t>Lawrence Hill Books</t>
  </si>
  <si>
    <t>ML410.F2955 M63 2009eb</t>
  </si>
  <si>
    <t>Musicians--Nigeria--Biography.</t>
  </si>
  <si>
    <t>Moore, Carlos.</t>
  </si>
  <si>
    <t>And He Knew Our Language</t>
  </si>
  <si>
    <t>Missionary Linguistics on the Pacific Northwest Coast</t>
  </si>
  <si>
    <t>FOREIGN LANGUAGE STUDY / Native American Languages</t>
  </si>
  <si>
    <t>PM1271 .T66 2011eb</t>
  </si>
  <si>
    <t>Haida Indians--Languages.,Haida language--Discourse analysis.,Indians of North America--Missions--British Columbia--Haida Gwaii.,Indians--Languages--History.</t>
  </si>
  <si>
    <t>Tomalin, Marcus.</t>
  </si>
  <si>
    <t>Studies in the History of the Language Sciences</t>
  </si>
  <si>
    <t>The Poetics of Repetition in English and Chinese Lyric Poetry</t>
  </si>
  <si>
    <t>PR508.R5 S86 2011eb</t>
  </si>
  <si>
    <t>Chinese poetry--History and criticism.,English poetry--History and criticism.,Lyric poetry--History and criticism.,Repetition in literature.</t>
  </si>
  <si>
    <t>Sun, Cecile Chu-chin.</t>
  </si>
  <si>
    <t>Library Juice Concentrate</t>
  </si>
  <si>
    <t>Litwin Books</t>
  </si>
  <si>
    <t>Litwin Books, LLC</t>
  </si>
  <si>
    <t>Z665 .L53 2006eb</t>
  </si>
  <si>
    <t>Censorship.,Libraries and society.,Library science literature.,Library science.,Underground press publications.</t>
  </si>
  <si>
    <t>Litwin, Rory.</t>
  </si>
  <si>
    <t>Alternative Publishers of Books in North America</t>
  </si>
  <si>
    <t>Z231.5.L5 A53 2006eb</t>
  </si>
  <si>
    <t>Small presses--Canada--Directories.,Small presses--United States--Directories.,Underground press publications--Canada--Directories.,Underground press publications--United States--Directories.</t>
  </si>
  <si>
    <t>Anderson, Byron-Kranich, Nancy C.-American Library Association.-Library Juice Press.</t>
  </si>
  <si>
    <t>Historical Dictionary of Angola</t>
  </si>
  <si>
    <t>DT1264 .J36 2011eb</t>
  </si>
  <si>
    <t>James, W. Martin.</t>
  </si>
  <si>
    <t>Historical Dictionaries of Africa</t>
  </si>
  <si>
    <t>Lesbians in Early Modern Spain</t>
  </si>
  <si>
    <t>SOCIAL SCIENCE / LGBT Studies / Lesbian Studies</t>
  </si>
  <si>
    <t>HQ75.6.S72 V45 2011eb</t>
  </si>
  <si>
    <t>Lesbianism--Spain--History.,Lesbians--Spain--History--16th century.,Lesbians--Spain--History--17th century.</t>
  </si>
  <si>
    <t>Velasco, Sherry M.</t>
  </si>
  <si>
    <t>Romances of the White Man's Burden</t>
  </si>
  <si>
    <t>Race, Empire, and the Plantation in American Literature 1880-1936</t>
  </si>
  <si>
    <t>PS261 .W45 2011eb</t>
  </si>
  <si>
    <t>American fiction--19th century--History and criticism.,American fiction--20th century--History and criticism.,American literature--Southern States--History and criticism.,Imperialism in literature.,Plantation life in literature.,Race in literature.</t>
  </si>
  <si>
    <t>Wells, Jeremy</t>
  </si>
  <si>
    <t>Everyday Ruptures</t>
  </si>
  <si>
    <t>Children, Youth, and Migration in Global Perspective</t>
  </si>
  <si>
    <t>JV6225 .E94 2011eb</t>
  </si>
  <si>
    <t>Emigration and immigration--Social aspects.,Immigrant children.,Transnationalism--Social aspects.</t>
  </si>
  <si>
    <t>Coe, Cati.</t>
  </si>
  <si>
    <t>Missionary Scientists</t>
  </si>
  <si>
    <t>Jesuit Science in Spanish South America, 1570-1810</t>
  </si>
  <si>
    <t>BX3714.A1 P74 2011eb</t>
  </si>
  <si>
    <t>Natural history--South America--History.,Religion and science--South America--History.</t>
  </si>
  <si>
    <t>Prieto, AndreÌs I.</t>
  </si>
  <si>
    <t>Reload</t>
  </si>
  <si>
    <t>Rethinking Violence in American Life</t>
  </si>
  <si>
    <t>HN90.V5 S87 2010eb</t>
  </si>
  <si>
    <t>Violence in men--United States.,Violence in popular culture--United States.,Violence--United States.</t>
  </si>
  <si>
    <t>Strain, Christopher B.</t>
  </si>
  <si>
    <t>Toward Wiser Public Judgment</t>
  </si>
  <si>
    <t>POLITICAL SCIENCE / Civil Rights</t>
  </si>
  <si>
    <t>JK1764 .T69 2010eb</t>
  </si>
  <si>
    <t>Educational change--United States.,Education--United States.,Political participation--United States.,Public opinion--United States.</t>
  </si>
  <si>
    <t>Friedman, Will.-Yankelovich, Daniel.</t>
  </si>
  <si>
    <t>Handbook of Medical Sociology</t>
  </si>
  <si>
    <t>RA418 .H29 2010eb</t>
  </si>
  <si>
    <t>Social medicine--Handbooks, manuals, etc.</t>
  </si>
  <si>
    <t>Bird, Chloe E.</t>
  </si>
  <si>
    <t>Willing and Unable</t>
  </si>
  <si>
    <t>Doctors' Constraints in Abortion Care</t>
  </si>
  <si>
    <t>SOCIAL SCIENCE / Abortion &amp; Birth Control</t>
  </si>
  <si>
    <t>HQ767.5.U5 F745 2010eb</t>
  </si>
  <si>
    <t>Abortion--United States--Prevention.,Hospitals--Medical staff--Clinical privileges--United States.,Reproductive rights--United States.</t>
  </si>
  <si>
    <t>Freedman, Lori</t>
  </si>
  <si>
    <t>Locked Up, Locked Out</t>
  </si>
  <si>
    <t>Young Men in the Juvenile Justice System</t>
  </si>
  <si>
    <t>HV9104 .N873 2010eb</t>
  </si>
  <si>
    <t>Juvenile delinquents--United States.,Juvenile detention homes--United States.,Juvenile justice, Administration of--United States.,Young men--United States.</t>
  </si>
  <si>
    <t>Nurse, Anne</t>
  </si>
  <si>
    <t>Chasing Polio in Pakistan</t>
  </si>
  <si>
    <t>Why the World's Largest Public Health Initiative May Fail</t>
  </si>
  <si>
    <t>RA644.P9 C66 2010eb</t>
  </si>
  <si>
    <t>Poliomyelitis--Pakistan.</t>
  </si>
  <si>
    <t>Closser, Svea</t>
  </si>
  <si>
    <t>The DeMarco Factor</t>
  </si>
  <si>
    <t>Transforming Public Will Into Political Power</t>
  </si>
  <si>
    <t>POLITICAL SCIENCE / American Government / Legislative Branch</t>
  </si>
  <si>
    <t>JK1118 .P46 2010eb</t>
  </si>
  <si>
    <t>Antismoking movement--Maryland.,Antismoking movement--United States.,Lobbying--United States--Case studies.,Lobbyists--Maryland.,Public interest--United States--Case studies.,Tobacco industry--Government policy--Maryland.,Tobacco industry--Government policy--United States.</t>
  </si>
  <si>
    <t>Pertschuk, Michael</t>
  </si>
  <si>
    <t>Living on the Edge in Suburbia</t>
  </si>
  <si>
    <t>From Welfare to Workfare</t>
  </si>
  <si>
    <t>SOCIAL SCIENCE / Poverty &amp; Homelessness</t>
  </si>
  <si>
    <t>HV99.W45 L39 2010eb</t>
  </si>
  <si>
    <t>Public welfare--New York (State)--Westchester County.,Suburbanites--New York (State)--Westchester County--Economic conditions--Case studies.,Welfare recipients--Employment--New York (State)--Westchester County--Case studies.,Welfare recipients--New York (State)--Westchester County--Case studies.</t>
  </si>
  <si>
    <t>Lawinski, Terese.</t>
  </si>
  <si>
    <t>Reconstituting Whiteness</t>
  </si>
  <si>
    <t>The Mississippi State Sovereignty Commission</t>
  </si>
  <si>
    <t>F350.A1 I76 2010eb</t>
  </si>
  <si>
    <t>States' rights (American politics)--History--20th century.,White supremacy movements--Mississippi--History--20th century.</t>
  </si>
  <si>
    <t>Irons, Jenny</t>
  </si>
  <si>
    <t>The Inverted Conquest</t>
  </si>
  <si>
    <t>The Myth of Modernity and the Transatlantic Onset of Modernism</t>
  </si>
  <si>
    <t>PQ7081 .M3845 2009eb</t>
  </si>
  <si>
    <t>Modernism (Literature)--Latin America.,Modernism (Literature)--Spain.,Spanish American literature--19th century--History and criticism.,Spanish American literature--20th century--History and criticism.,Spanish literature--Latin American influences.</t>
  </si>
  <si>
    <t>MejiÌas-LoÌpez, Alejandro.</t>
  </si>
  <si>
    <t>Old Age in a New Age</t>
  </si>
  <si>
    <t>The Promise of Transformative Nursing Homes</t>
  </si>
  <si>
    <t>RA997 .B323 2007eb</t>
  </si>
  <si>
    <t>Nursing homes--United States.,Older people--Nursing home care--United States.,Older people--United States--Social conditions--21st century.</t>
  </si>
  <si>
    <t>Baker, Beth.</t>
  </si>
  <si>
    <t>Perversion of Power</t>
  </si>
  <si>
    <t>Sexual Abuse in the Catholic Church</t>
  </si>
  <si>
    <t>BX1912.9 .F74 2007eb</t>
  </si>
  <si>
    <t>Child sexual abuse by clergy.</t>
  </si>
  <si>
    <t>Frawley-O'Dea, Mary Gail</t>
  </si>
  <si>
    <t>God and Caesar</t>
  </si>
  <si>
    <t>Selected Essays on Religion, Politics, &amp; Society</t>
  </si>
  <si>
    <t>Catholic University of America Press</t>
  </si>
  <si>
    <t>Connor Court Pub. ;</t>
  </si>
  <si>
    <t>BX1793 .P45 2007eb</t>
  </si>
  <si>
    <t>Christianity and politics--Catholic Church.</t>
  </si>
  <si>
    <t>Pell, George-Casey, M. A.</t>
  </si>
  <si>
    <t>The Alchemy of Voice</t>
  </si>
  <si>
    <t>Transform and Enrich Your Life Through the Power of Your Voice</t>
  </si>
  <si>
    <t>Findhorn Press</t>
  </si>
  <si>
    <t>BODY, MIND &amp; SPIRIT / Healing / Energy (Qigong, Reiki, Polarity)</t>
  </si>
  <si>
    <t>BF637.V64 P43 2010eb</t>
  </si>
  <si>
    <t>Voice culture.,Voice--Psychological aspects.,Voice--Therapeutic use.</t>
  </si>
  <si>
    <t>Pearce, Stewart.</t>
  </si>
  <si>
    <t>Hunger in America</t>
  </si>
  <si>
    <t>Issues and Assistance</t>
  </si>
  <si>
    <t>TX360.U6 H86 2009eb</t>
  </si>
  <si>
    <t>Food relief--United States.,Food supply--United States.,Hunger--United States.,Nutrition policy--United States.</t>
  </si>
  <si>
    <t>Labue, Gaston T.</t>
  </si>
  <si>
    <t>Hunger and Poverty: Causes, Impacts and Eradication</t>
  </si>
  <si>
    <t>Mental Depression</t>
  </si>
  <si>
    <t>Forms, Causes and Treatment</t>
  </si>
  <si>
    <t>RC537 .M46 2009eb</t>
  </si>
  <si>
    <t>Depression, Mental.,Depression, Mental--Treatment.,Depression, Mental--Women.</t>
  </si>
  <si>
    <t>Moy, Rafael D.</t>
  </si>
  <si>
    <t>Depression- Causes, Diagnosis and Treatment Series</t>
  </si>
  <si>
    <t>Muscle Strength</t>
  </si>
  <si>
    <t>Types, Efficiency and Drug Effects</t>
  </si>
  <si>
    <t>HEALTH &amp; FITNESS / Exercise / General</t>
  </si>
  <si>
    <t>QP321 .M87 2009eb</t>
  </si>
  <si>
    <t>Exercise for older people--Physiological aspects.,Muscle strength.</t>
  </si>
  <si>
    <t>Marini, Jahiem E.-Donato, Marvin S.</t>
  </si>
  <si>
    <t>Muscular System-anatomy, Functions and Injuries Series</t>
  </si>
  <si>
    <t>On Monsters and Marvels</t>
  </si>
  <si>
    <t>QM691 .P3713 1983eb</t>
  </si>
  <si>
    <t>Abnormalities, Human--Early works to 1800.,Animals--Abnormalities--Early works to 1800.</t>
  </si>
  <si>
    <t>PareÌ, Ambroise-Pallister, Janis L.</t>
  </si>
  <si>
    <t>Trends in Polymer Research</t>
  </si>
  <si>
    <t>QD381 .T75 2009eb</t>
  </si>
  <si>
    <t>Polymers.</t>
  </si>
  <si>
    <t>Monakov, Iï¸ Uï¸¡. B.-JimeÌnez, Alfonso-Zaikov, G. E.</t>
  </si>
  <si>
    <t>Somatosensory Cortex</t>
  </si>
  <si>
    <t>Roles, Interventions, and Traumas</t>
  </si>
  <si>
    <t>QP383.15 .S66 2009eb</t>
  </si>
  <si>
    <t>Sensorimotor cortex.,Somesthesia.</t>
  </si>
  <si>
    <t>Johnsen, Niels.-Agerskov, Rolf.</t>
  </si>
  <si>
    <t>Neurology--laboratory and Clinical Research Developments Series</t>
  </si>
  <si>
    <t>Meltdown</t>
  </si>
  <si>
    <t>Climate Change, Natural Disasters, and Other Catastrophes--fears and Concerns of the Future</t>
  </si>
  <si>
    <t>QC903 .M45 2009eb</t>
  </si>
  <si>
    <t>Climatic changes--Physiological effect.,Climatic changes--Psychological aspects.,Climatic changes--Social aspects.</t>
  </si>
  <si>
    <t>Gow, Kathryn.</t>
  </si>
  <si>
    <t>Natural Disaster Research, Prediction and Mitigation Series</t>
  </si>
  <si>
    <t>TV, Food Marketing and Childhood Obesity</t>
  </si>
  <si>
    <t>RJ399.C6 T8 2009eb</t>
  </si>
  <si>
    <t>Food industry and trade.,Obesity in children.,Television advertising.</t>
  </si>
  <si>
    <t>Cartere, Jason Y.</t>
  </si>
  <si>
    <t>Variations, Geometry and Physics</t>
  </si>
  <si>
    <t>In Honour of Demeter Krupka's Sixty-fifth Birthday</t>
  </si>
  <si>
    <t>QA315 .V38 2009eb</t>
  </si>
  <si>
    <t>Calculus of variations.,Global analysis (Mathematics),Mathematical physics.</t>
  </si>
  <si>
    <t>Saunders, D. J.-KrupkovaÌ, Olga-Krupka, D.</t>
  </si>
  <si>
    <t>Structural Data and Invariants of Nine Dimensional Real Lie Algebras with Nontrivial Levi Decomposition</t>
  </si>
  <si>
    <t>MATHEMATICS / Algebra / Intermediate</t>
  </si>
  <si>
    <t>QA252.3 .C36 2009eb</t>
  </si>
  <si>
    <t>Decomposition method.,Invariants.,Lie algebras.</t>
  </si>
  <si>
    <t>Campoamor-Stursberg, R.</t>
  </si>
  <si>
    <t>Generic Drugs</t>
  </si>
  <si>
    <t>Needs and Issues</t>
  </si>
  <si>
    <t>BUSINESS &amp; ECONOMICS / Industries / Pharmaceutical &amp; Biotechnology</t>
  </si>
  <si>
    <t>RS55.2 .G465 2009eb</t>
  </si>
  <si>
    <t>Generic drugs--United States.</t>
  </si>
  <si>
    <t>Blanton, Ryan S.</t>
  </si>
  <si>
    <t>Health Care Issues, Costs and Access Series</t>
  </si>
  <si>
    <t>Wind Energy in Electricity Markets with High Wind Penetration</t>
  </si>
  <si>
    <t>TECHNOLOGY &amp; ENGINEERING / Power Resources / Electrical</t>
  </si>
  <si>
    <t>TJ820 .U83 2009eb</t>
  </si>
  <si>
    <t>Electric power systems.,Wind power.</t>
  </si>
  <si>
    <t>Usaola, Julio.-Castronuovo, Edgardo D.</t>
  </si>
  <si>
    <t>Wind Power</t>
  </si>
  <si>
    <t>Technology, Economics and Policies</t>
  </si>
  <si>
    <t>TJ820 .W5769 2009eb</t>
  </si>
  <si>
    <t>Wind power.,Wind power--United States.</t>
  </si>
  <si>
    <t>Osphey, Cedrick N.</t>
  </si>
  <si>
    <t>Renewable Energy: Research, Development and Policies Series</t>
  </si>
  <si>
    <t>Women and Depression</t>
  </si>
  <si>
    <t>SELF-HELP / Mood Disorders / Depression</t>
  </si>
  <si>
    <t>RC537 .W657 2009eb</t>
  </si>
  <si>
    <t>Depression in women.</t>
  </si>
  <si>
    <t>Alonso, Sara.-Hernandez, Paula.</t>
  </si>
  <si>
    <t>Young Adults with Serious Mental Illness</t>
  </si>
  <si>
    <t>RJ503 .Y68 2009eb</t>
  </si>
  <si>
    <t>Mental illness--United States.,Mentally ill--Services for--United States.,Youth--Services for--United States.</t>
  </si>
  <si>
    <t>Sullivan, David O.</t>
  </si>
  <si>
    <t>Smaller Satellites Operations Near Geostationary Orbit</t>
  </si>
  <si>
    <t>TL795.4 .S63 2009eb</t>
  </si>
  <si>
    <t>Artificial satellites.,Astronautics.</t>
  </si>
  <si>
    <t>Erdner, Matthew T.</t>
  </si>
  <si>
    <t>Space Science, Exploration and Policies Series</t>
  </si>
  <si>
    <t>Strategies in Evaluation of Complex Health Care Interventions for People with Physical or Mental Health Issues</t>
  </si>
  <si>
    <t>R853.O87 S77 2009eb</t>
  </si>
  <si>
    <t>Medical care--Evaluation.,Outcome assessment (Medical care)</t>
  </si>
  <si>
    <t>Chien, Wai-Tong.</t>
  </si>
  <si>
    <t>Strong Women, Dangerous Times</t>
  </si>
  <si>
    <t>Gender and HIV/AIDS in Africa</t>
  </si>
  <si>
    <t>RA643.86.A35 S77 2009eb</t>
  </si>
  <si>
    <t>AIDS (Disease) in women--Africa.</t>
  </si>
  <si>
    <t>Kalipeni, Ezekiel-Flynn, Karen Coen.-Pope, Cynthia.</t>
  </si>
  <si>
    <t>Structural Materials and Engineering</t>
  </si>
  <si>
    <t>TECHNOLOGY &amp; ENGINEERING / Structural</t>
  </si>
  <si>
    <t>TA637 .S885 2009eb</t>
  </si>
  <si>
    <t>Building materials.,Structural engineering.</t>
  </si>
  <si>
    <t>Hagy, Ference H.</t>
  </si>
  <si>
    <t>Sports Injuries and Their Effects on Health</t>
  </si>
  <si>
    <t>SPORTS &amp; RECREATION / Training</t>
  </si>
  <si>
    <t>RD97 .S6887 2009eb</t>
  </si>
  <si>
    <t>Sports injuries--Health aspects.,Sports injuries--Prevention.,Sports injuries--Treatment.</t>
  </si>
  <si>
    <t>Salerno, Robert R.</t>
  </si>
  <si>
    <t>Sports and Athletics Preparation, Performance, and Psychology Series</t>
  </si>
  <si>
    <t>Stem Cell Plasticity</t>
  </si>
  <si>
    <t>MEDICAL / Research</t>
  </si>
  <si>
    <t>QH588.S83 A37 2009eb</t>
  </si>
  <si>
    <t>Hematopoietic stem cells.,Stem cells.,Stem cells--Transplantation.</t>
  </si>
  <si>
    <t>Agrawal, Suraksha.-Tripathi, Piyush.-Naik, Sita.</t>
  </si>
  <si>
    <t>Success in Chemistry and Biochemistry</t>
  </si>
  <si>
    <t>Mind's Flight in Time and Space</t>
  </si>
  <si>
    <t>QD31.3 .S83eb vol. 4</t>
  </si>
  <si>
    <t>Biochemistry.,Chemistry.</t>
  </si>
  <si>
    <t>Zaikov, G. E.</t>
  </si>
  <si>
    <t>The Dipole-quadrupole Theory of Surface Enhanced Raman Scattering</t>
  </si>
  <si>
    <t>QC454.R36 P65 2009eb</t>
  </si>
  <si>
    <t>Quadrupoles.,Raman effect, Surface enhanced.</t>
  </si>
  <si>
    <t>Polubotko, A. M.</t>
  </si>
  <si>
    <t>The Effects of Climate Change on Agriculture, Land Resources, Water Resources, and Biodiversity in the United States</t>
  </si>
  <si>
    <t>QC981.8.G56 E344 2009eb</t>
  </si>
  <si>
    <t>Agriculture--Environmental aspects--United States.,Biodiversity--United States.,Biotic communities--Environmental aspects--United States.,Climatic changes--United States.,Global temperature changes.,Global warming.,Water-supply--United States.</t>
  </si>
  <si>
    <t>Backlund, Peter.-Climate Change Science Program (U.S.)-National Science and Technology Council (U.S.).-Janetos, Anthony C.-Schimel, David Steven.</t>
  </si>
  <si>
    <t>Egypt After Mubarak</t>
  </si>
  <si>
    <t>Liberalism, Islam, and Democracy in the Arab World</t>
  </si>
  <si>
    <t>JQ3881 .R87 2008eb</t>
  </si>
  <si>
    <t>Democracy--Egypt.,Islam and politics--Egypt--Forecasting.,Lawyers--Political activity--Egypt.,Liberalism--Egypt.</t>
  </si>
  <si>
    <t>Rutherford, Bruce K.</t>
  </si>
  <si>
    <t>Princeton Studies in Muslim Politics</t>
  </si>
  <si>
    <t>Superconducting Cuprates</t>
  </si>
  <si>
    <t>Properties, Preparation and Applications</t>
  </si>
  <si>
    <t>QC611.98.C64 S87 2009eb</t>
  </si>
  <si>
    <t>Copper compounds.,High temperature superconductors--Materials.,Superconductivity.</t>
  </si>
  <si>
    <t>Courtlandt, Koenraad N.</t>
  </si>
  <si>
    <t>Systemic and Metabolic Changes Observed in Alcohol Dependent Male Patients After Alcohol Withdrawal</t>
  </si>
  <si>
    <t>RC565 .S98 2009eb</t>
  </si>
  <si>
    <t>Alcoholism--Complications.,Alcoholism--Treatment.</t>
  </si>
  <si>
    <t>Klopocka, Maria.</t>
  </si>
  <si>
    <t>Superconducting Intercalated Graphite</t>
  </si>
  <si>
    <t>QD474 .E44 2009eb</t>
  </si>
  <si>
    <t>Clathrate compounds.,Graphite.,Superconductivity.</t>
  </si>
  <si>
    <t>Emerya, Nicolas.-HeÌrolda, Claire.-Lagrange, Philippe.</t>
  </si>
  <si>
    <t>Telemetry</t>
  </si>
  <si>
    <t>Research, Technology and Applications</t>
  </si>
  <si>
    <t>QH324.9.B5 T45 2009eb</t>
  </si>
  <si>
    <t>Biotelemetry.</t>
  </si>
  <si>
    <t>Daniels, Julia.-Barculo, Diana.</t>
  </si>
  <si>
    <t>The Amazon Gold Rush and Environmental Mercury Contamination</t>
  </si>
  <si>
    <t>TD196.M38 B655 2009eb</t>
  </si>
  <si>
    <t>Gold mines and mining--Environmental aspects--Amazon River Region.,Mercury--Environmental aspects--Madeira River Watershed (Brazil and Bolivia)</t>
  </si>
  <si>
    <t>Bonotto, Daniel Marcos-Silveira, Ene Gloria da.</t>
  </si>
  <si>
    <t>Environmental Science, Engineering and Technology Series</t>
  </si>
  <si>
    <t>The Kyoto Protocol</t>
  </si>
  <si>
    <t>Economic Assessments, Implementation Mechanisms, and Policy Implications</t>
  </si>
  <si>
    <t>QC981.8.C5 K96 2009eb</t>
  </si>
  <si>
    <t>Air--Pollution--Government policy--International cooperation.,Climatic changes--Government policy--Economic aspects.,Climatic changes--Government policy--International cooperation.,Environmental law, International.,Global warming--Government policy--Economic aspects.,Global warming--Government policy--International cooperation.,Greenhouse gases--Government policy--Economic aspects.,Greenhouse gases--Government policy--International cooperation.</t>
  </si>
  <si>
    <t>Vasser, Christophe P.</t>
  </si>
  <si>
    <t>The Malleable Brain</t>
  </si>
  <si>
    <t>Benefits and Harm From Plasticity of the Brain</t>
  </si>
  <si>
    <t>QP363.3 .M655 2009eb</t>
  </si>
  <si>
    <t>Neuroplasticity.</t>
  </si>
  <si>
    <t>MÃ¸ller, Aage R.</t>
  </si>
  <si>
    <t>Stabilization and Modification of Cellulose Diacetate</t>
  </si>
  <si>
    <t>TP248.C45 S73 2009eb</t>
  </si>
  <si>
    <t>Cellulose acetate.,Cellulose--Biodegradation.</t>
  </si>
  <si>
    <t>Niyazi, F.</t>
  </si>
  <si>
    <t>More Than a Minute</t>
  </si>
  <si>
    <t>How to Be an Effective Leader and Manager in Today's Changing World</t>
  </si>
  <si>
    <t>Red Wheel/Weiser, LLC</t>
  </si>
  <si>
    <t>Career Press</t>
  </si>
  <si>
    <t>HD31 .G747 2009eb</t>
  </si>
  <si>
    <t>Communication in organizations.,Leadership.,Management.,Strategic planning.</t>
  </si>
  <si>
    <t>Green, Holly G.</t>
  </si>
  <si>
    <t>How Modern Science Came Into the World</t>
  </si>
  <si>
    <t>Q125 .C638 2010eb</t>
  </si>
  <si>
    <t>Science, Ancient.,Science--Europe--History.,Science--History.</t>
  </si>
  <si>
    <t>Cohen, H. F.</t>
  </si>
  <si>
    <t>Trends in Practical Colloid Science</t>
  </si>
  <si>
    <t>QD549 .U835 2009eb</t>
  </si>
  <si>
    <t>Colloids.</t>
  </si>
  <si>
    <t>UskokovicÌ, Vuk.</t>
  </si>
  <si>
    <t>Uranium</t>
  </si>
  <si>
    <t>Compounds, Isotopes and Applications</t>
  </si>
  <si>
    <t>TN799.U7 U73 2009eb</t>
  </si>
  <si>
    <t>Uranium--Metallurgy.</t>
  </si>
  <si>
    <t>Wolfe, Gerhardt H.</t>
  </si>
  <si>
    <t>Vaccinations</t>
  </si>
  <si>
    <t>Types, Potential Complications, and Health Effects</t>
  </si>
  <si>
    <t>RA638 .V326 2009eb</t>
  </si>
  <si>
    <t>Vaccination.,Vaccines.</t>
  </si>
  <si>
    <t>Dyson, Howard L.-Steen, David B.</t>
  </si>
  <si>
    <t>The Sleep Apnea Syndrome, More As an Illness</t>
  </si>
  <si>
    <t>RC737.5 .B88 2009eb</t>
  </si>
  <si>
    <t>Sleep apnea syndromes.</t>
  </si>
  <si>
    <t>BuÌˆttner, A.</t>
  </si>
  <si>
    <t>The Ribonucleotide Reductase Family</t>
  </si>
  <si>
    <t>Genetics and Genomics</t>
  </si>
  <si>
    <t>MEDICAL / Biochemistry</t>
  </si>
  <si>
    <t>QP602 .T67 2009eb</t>
  </si>
  <si>
    <t>Enzymes.,Genetics.,Genomics.,Oxidoreductases.</t>
  </si>
  <si>
    <t>Torrents, Eduard.-Sahlin, Margareta.-Drottz-SjoÌˆberg, Britt-Marie.</t>
  </si>
  <si>
    <t>The Handy Physics Answer Book</t>
  </si>
  <si>
    <t>QC75 .Z58 2011eb</t>
  </si>
  <si>
    <t>Physics--Miscellanea.</t>
  </si>
  <si>
    <t>Zitzewitz, Paul W.</t>
  </si>
  <si>
    <t>Instrument Flying Handbook</t>
  </si>
  <si>
    <t>Aviation Supplies &amp; Academics, Inc.</t>
  </si>
  <si>
    <t>TRANSPORTATION / Aviation / Piloting &amp; Flight Instruction</t>
  </si>
  <si>
    <t>TL711.B6 I57 2008eb</t>
  </si>
  <si>
    <t>Instrument flying--Handbooks, manuals, etc.</t>
  </si>
  <si>
    <t>United States.</t>
  </si>
  <si>
    <t>Magnetic Properties and Applications of Ferromagnetic Microwires with Amorphous and Nanocrystalline Structure</t>
  </si>
  <si>
    <t>TA418.9.A58 Z48 2009eb</t>
  </si>
  <si>
    <t>Amorphous substances--Magnetic properties.,Ferromagnetic materials.,Nanocrystals.</t>
  </si>
  <si>
    <t>Zhukov, Arcady-Zhukova, Valentina</t>
  </si>
  <si>
    <t>Nanotechnology Science and Technology Series</t>
  </si>
  <si>
    <t>Traffic Related Air Pollution and Internal Combustion Engines</t>
  </si>
  <si>
    <t>TD884.3 .T73 2009eb</t>
  </si>
  <si>
    <t>Air--Pollution.,Alternative fuel vehicles.,Automobiles--Environmental aspects.,Motor fuels--Environmental aspects.,Smog--Prevention.</t>
  </si>
  <si>
    <t>Bonnet, Jacques-Demidov, Sergey</t>
  </si>
  <si>
    <t>Air, Water and Soil Science and Technology Series</t>
  </si>
  <si>
    <t>DNA</t>
  </si>
  <si>
    <t>Fingerprinting, Sequencing and Chips</t>
  </si>
  <si>
    <t>MEDICAL / Forensic Medicine</t>
  </si>
  <si>
    <t>RA1057.55 .D6366 2009eb</t>
  </si>
  <si>
    <t>DNA fingerprinting.,DNA microarrays.</t>
  </si>
  <si>
    <t>Ovesen, Kresten.-Matthiesen, Ulrich.</t>
  </si>
  <si>
    <t>DNA Properties and Modifications, Functions and Interactions, Recombination and Applications Series</t>
  </si>
  <si>
    <t>Clinical Chemistry Research</t>
  </si>
  <si>
    <t>MEDICAL / Nursing / Pharmacology</t>
  </si>
  <si>
    <t>RS403 .C65 2009eb</t>
  </si>
  <si>
    <t>Clinical biochemistry.,Clinical chemistry.,Pharmaceutical chemistry.</t>
  </si>
  <si>
    <t>Mitchem, Brian H.-Sharnham, Charles L.</t>
  </si>
  <si>
    <t>Cardiovascular Signals in Diabetes Mellitus</t>
  </si>
  <si>
    <t>A New Tool to Detect Autonomic Neuropathy</t>
  </si>
  <si>
    <t>RC422.D52 C37 2009eb</t>
  </si>
  <si>
    <t>Autonomic nervous system--Diseases--Diagnosis.,Blood pressure.,Diabetic neuropathies--Diagnosis.,Heart beat.</t>
  </si>
  <si>
    <t>Javorka, Michal.</t>
  </si>
  <si>
    <t>Carbohydrate Binding Modules</t>
  </si>
  <si>
    <t>Functions and Applications</t>
  </si>
  <si>
    <t>QP701 .M67 2009eb</t>
  </si>
  <si>
    <t>Binding sites (Biochemistry),Carbohydrates.,Enzymes.</t>
  </si>
  <si>
    <t>Moreira, Susana.-Gama, Miguel.</t>
  </si>
  <si>
    <t>Cancer Biology</t>
  </si>
  <si>
    <t>An Updated Global Overview</t>
  </si>
  <si>
    <t>RC254.5 .E4 2009eb</t>
  </si>
  <si>
    <t>Cancer.</t>
  </si>
  <si>
    <t>El-Metwally, Tarek H.</t>
  </si>
  <si>
    <t>Buying for Less</t>
  </si>
  <si>
    <t>SMW Publishing, Inc.</t>
  </si>
  <si>
    <t>Electronic &amp; Database Publishing, Inc.</t>
  </si>
  <si>
    <t>HOUSE &amp; HOME / Reference</t>
  </si>
  <si>
    <t>TX335 .D39 2010eb</t>
  </si>
  <si>
    <t>Consumer education.,Shopping.</t>
  </si>
  <si>
    <t>Davidson, Jeffrey P.</t>
  </si>
  <si>
    <t>10 Minute Guide</t>
  </si>
  <si>
    <t>PSYCHOLOGY / Industrial &amp; Organizational Psychology</t>
  </si>
  <si>
    <t>RA785 .D3725 2001eb</t>
  </si>
  <si>
    <t>Stress (Psychology),Stress management.</t>
  </si>
  <si>
    <t>Relationship-Based Social Work</t>
  </si>
  <si>
    <t>Getting to the Heart of Practice</t>
  </si>
  <si>
    <t>HV40 .R373 2010eb</t>
  </si>
  <si>
    <t>Interpersonal relations--Case studies.,Social service--Case studies.</t>
  </si>
  <si>
    <t>Ward, Adrian-Turney, Danielle.-Ruch, Gillian.</t>
  </si>
  <si>
    <t>Calcium Channel Blockers and Renal Disease</t>
  </si>
  <si>
    <t>RC903 .C25 2009eb</t>
  </si>
  <si>
    <t>Calcium--Antagonists.,Kidneys--Diseases--Chemotherapy.</t>
  </si>
  <si>
    <t>Robles, NicolaÌs Roberto.</t>
  </si>
  <si>
    <t>Cerebrovascular Research and Disorders Series</t>
  </si>
  <si>
    <t>Boundary Properties and Applications of the Differentiated Poisson Integral for Different Domains</t>
  </si>
  <si>
    <t>MATHEMATICS / Calculus</t>
  </si>
  <si>
    <t>QA431 .T67 2009eb</t>
  </si>
  <si>
    <t>Differential equations.,Dirichlet problem.,Integral domains.,Poisson integral formula.</t>
  </si>
  <si>
    <t>Topuria, Sergo.</t>
  </si>
  <si>
    <t>Swine Flu and Pig Borne Diseases</t>
  </si>
  <si>
    <t>RA639 .V575 2009eb</t>
  </si>
  <si>
    <t>H1N1 influenza.,Swine--Diseases.,Zoonoses.</t>
  </si>
  <si>
    <t>Asbestos</t>
  </si>
  <si>
    <t>Risks, Environment and Impact</t>
  </si>
  <si>
    <t>MEDICAL / Toxicology</t>
  </si>
  <si>
    <t>RA1231.A8 A83 2009eb</t>
  </si>
  <si>
    <t>Asbestos--Toxicology.,Environmentally induced diseases.,Lungs--Dust diseases.</t>
  </si>
  <si>
    <t>Salazar, Gael.-Soto, Antonio</t>
  </si>
  <si>
    <t>Antiterrorist Emergency Ventilation</t>
  </si>
  <si>
    <t>System, Strategy and Decision-making</t>
  </si>
  <si>
    <t>TECHNOLOGY &amp; ENGINEERING / Construction / Heating, Ventilation &amp; Air Conditioning</t>
  </si>
  <si>
    <t>TH7682.E44 L49 2009eb</t>
  </si>
  <si>
    <t>Decontamination (from gases, chemicals, etc.),Emergency ventilation.,Gases, Asphyxiating and poisonous.,Terrorism--Prevention--Equipment and supplies.</t>
  </si>
  <si>
    <t>Li, Xianting.-Cai, Hao.-Zhao, Lina.</t>
  </si>
  <si>
    <t>Terrorism, Hot Spots, and Conflict-related Issues Series</t>
  </si>
  <si>
    <t>Ambiol As a Basis of New Effective Drugs</t>
  </si>
  <si>
    <t>RM666.A555 K89 2009eb</t>
  </si>
  <si>
    <t>Ethephon--Therapeutic use.</t>
  </si>
  <si>
    <t>Kuznetsov, Yury V.</t>
  </si>
  <si>
    <t>Advanced Galileo and GPS Receiver Techniques</t>
  </si>
  <si>
    <t>Enhanced Sensitivity and Improved Accuracy</t>
  </si>
  <si>
    <t>TECHNOLOGY &amp; ENGINEERING / Radio</t>
  </si>
  <si>
    <t>TK6565.D5 S36 2009eb</t>
  </si>
  <si>
    <t>Galileo satellite navigation system.,Global Positioning System.,GPS receivers.</t>
  </si>
  <si>
    <t>Schmid, Andreas</t>
  </si>
  <si>
    <t>Electrical Engineering Developments Series</t>
  </si>
  <si>
    <t>A Practitioner's Guide to Common Ano-rectal Diseases</t>
  </si>
  <si>
    <t>RC864 .G87 2009eb</t>
  </si>
  <si>
    <t>Anus--Diseases.,Rectum--Diseases.</t>
  </si>
  <si>
    <t>Gupta, Pravin Jaiprakash.</t>
  </si>
  <si>
    <t>Global Climate Change</t>
  </si>
  <si>
    <t>International Perspectives and Responses</t>
  </si>
  <si>
    <t>QC903 .G56 2009eb</t>
  </si>
  <si>
    <t>Climatic changes--Government policy.,Climatic changes--International cooperation.,Greenhouse gas mitigation--Government policy.</t>
  </si>
  <si>
    <t>D'Angelo, Elias.</t>
  </si>
  <si>
    <t>Climate Change and Its Causes, Effects and Prediction Series</t>
  </si>
  <si>
    <t>Explosion and Its Applications in Metalworking</t>
  </si>
  <si>
    <t>TS205 .P443 2009eb</t>
  </si>
  <si>
    <t>Blasting.,Explosives.,Metal-work.</t>
  </si>
  <si>
    <t>Petushkov, Vladimir G.</t>
  </si>
  <si>
    <t>Eye Infections, Blindness and Myopia</t>
  </si>
  <si>
    <t>RE96 .E94 2009eb</t>
  </si>
  <si>
    <t>Blindness.,Drug resistance in microorganisms.,Eye--Infections.,Myopia.,Ophthalmic drugs.</t>
  </si>
  <si>
    <t>Truax, Dominique.-Higgins, Jeffrey.</t>
  </si>
  <si>
    <t>Eye and Vision Research Developments Series</t>
  </si>
  <si>
    <t>Fish Consumption and Health</t>
  </si>
  <si>
    <t>QP144.F56 F535 2009eb</t>
  </si>
  <si>
    <t>Fish as food.,Seafood--Health aspects.</t>
  </si>
  <si>
    <t>Gagne, George P.-Medrano, Richard H.</t>
  </si>
  <si>
    <t>Food and Beverage Consumption and Health Series</t>
  </si>
  <si>
    <t>Flood Risk Management</t>
  </si>
  <si>
    <t>POLITICAL SCIENCE / Law Enforcement</t>
  </si>
  <si>
    <t>TC530 .F58 2009eb</t>
  </si>
  <si>
    <t>Flood damage prevention.,Floodplain management.,Risk assessment.</t>
  </si>
  <si>
    <t>Chin, Oliver P.</t>
  </si>
  <si>
    <t>Flue Gases</t>
  </si>
  <si>
    <t>Research, Technology and Economics</t>
  </si>
  <si>
    <t>TD885 .F585 2009eb</t>
  </si>
  <si>
    <t>Flue gases.</t>
  </si>
  <si>
    <t>Naylor, Theodore B.</t>
  </si>
  <si>
    <t>Focus on Milk and Infants</t>
  </si>
  <si>
    <t>HEALTH &amp; FITNESS / Breastfeeding</t>
  </si>
  <si>
    <t>RJ216 .V565 2009eb</t>
  </si>
  <si>
    <t>Breast milk--Contamination.,Breastfeeding.,Milk contamination.</t>
  </si>
  <si>
    <t>Pregnancy and Infants</t>
  </si>
  <si>
    <t>Focus on Arbovirus Infections</t>
  </si>
  <si>
    <t>QR201.A72 V57 2009eb</t>
  </si>
  <si>
    <t>Arbovirus infections.</t>
  </si>
  <si>
    <t>Focus on Thyroid Cancer Research</t>
  </si>
  <si>
    <t>RC280.T6 F63 2009eb</t>
  </si>
  <si>
    <t>Thyroid gland--Cancer.</t>
  </si>
  <si>
    <t>Milton, Carl A.</t>
  </si>
  <si>
    <t>Cognitive Science Compendium</t>
  </si>
  <si>
    <t>SCIENCE / Cognitive Science</t>
  </si>
  <si>
    <t>QP360.5 .C647 2009eb</t>
  </si>
  <si>
    <t>Cognitive neuroscience.,Cognitive science.</t>
  </si>
  <si>
    <t>Sun, Miao-Kun.</t>
  </si>
  <si>
    <t>Synergetics and Fractal Analysis of Polymer Composites Filled with Short Fibers</t>
  </si>
  <si>
    <t>TP1177.5.F5 K69 2009eb</t>
  </si>
  <si>
    <t>Fiber-reinforced plastics--Analysis.,Fibrous composites--Mathematical models.,Polymeric composites--Mathematical models.</t>
  </si>
  <si>
    <t>Kozlov, G. V.-Iï¸ Aï¸¡novskiiÌ†, Iï¸ Uï¸¡. G.-Zaikov, G. E.</t>
  </si>
  <si>
    <t>Polymer Science and Technology</t>
  </si>
  <si>
    <t>Prefrontal Cortex: Roles, Interventions and Traumas</t>
  </si>
  <si>
    <t>QP383.17 .P746 2009eb</t>
  </si>
  <si>
    <t>Prefrontal cortex.,Prefrontal cortex--Pathophysiology.,Schizophrenia.</t>
  </si>
  <si>
    <t>Morretti, Giovanni.-LoGrasso, Lorenzo.</t>
  </si>
  <si>
    <t>Follicular Lymphoma and Other Cancer Research</t>
  </si>
  <si>
    <t>RC280.L9 F65 2009eb</t>
  </si>
  <si>
    <t>Cancer.,Lymphomas.</t>
  </si>
  <si>
    <t>Haines, John G.-Safford, Michael P.</t>
  </si>
  <si>
    <t>Food Protection and Safety</t>
  </si>
  <si>
    <t>HEALTH &amp; FITNESS / Safety</t>
  </si>
  <si>
    <t>RA601 .F664 2009eb</t>
  </si>
  <si>
    <t>Food contamination--United States--Prevention.,Foodborne diseases--United States--Prevention.,Food--Safety measures--Government policy--United States.</t>
  </si>
  <si>
    <t>Thomasson, Lyman F.</t>
  </si>
  <si>
    <t>Focus for Excellence Laboratory Practice</t>
  </si>
  <si>
    <t>RB37 .V57 2009eb</t>
  </si>
  <si>
    <t>Diagnosis, Laboratory.</t>
  </si>
  <si>
    <t>From Problem Toward Solution</t>
  </si>
  <si>
    <t>Wireless Sensor Networks Security</t>
  </si>
  <si>
    <t>TECHNOLOGY &amp; ENGINEERING / Sensors</t>
  </si>
  <si>
    <t>TK7872.D48 F76 2009eb</t>
  </si>
  <si>
    <t>Ad hoc networks (Computer networks)--Security measures.,Sensor networks--Security measures.,Wireless LANs--Security measures.,Wireless metropolitan area networks--Security measures.</t>
  </si>
  <si>
    <t>Jiang, Zhen.-Pan, Yi</t>
  </si>
  <si>
    <t>Distributed, Cluster and Grid Computing</t>
  </si>
  <si>
    <t>Fungicides</t>
  </si>
  <si>
    <t>Chemistry, Environmental Impact, and Health Effects</t>
  </si>
  <si>
    <t>RA1270.F86 F86 2009eb</t>
  </si>
  <si>
    <t>Fungicides--Environmental aspects.,Fungicides--Toxicology.</t>
  </si>
  <si>
    <t>Bezerra, Peter.-De Costa, Paul.</t>
  </si>
  <si>
    <t>Gas Closed System Cycles</t>
  </si>
  <si>
    <t>TJ255 .W83 2009eb</t>
  </si>
  <si>
    <t>Heat-engines.,Internal combustion engines--Combustion.,Thermodynamic cycles.</t>
  </si>
  <si>
    <t>Wu, Chih</t>
  </si>
  <si>
    <t>Glasses, Glass-ceramics and Ceramics for Immobilization of Highly Radioactive Nuclear Wastes</t>
  </si>
  <si>
    <t>TD898.179 .G53 2009eb</t>
  </si>
  <si>
    <t>Ceramic materials.,Glass.,Radioactive wastes--Vitrification--Materials.</t>
  </si>
  <si>
    <t>Caurant, D.</t>
  </si>
  <si>
    <t>Recycling</t>
  </si>
  <si>
    <t>TD794.5 G35 2009eb</t>
  </si>
  <si>
    <t>Rossi, Lorenzo F.-Gallo, Christian S.</t>
  </si>
  <si>
    <t>Magnetic Resonance Spectroscopy of Breast Tumors</t>
  </si>
  <si>
    <t>RC280.B8 M2555 2009eb</t>
  </si>
  <si>
    <t>Breast--Cancer--Magnetic resonance imaging.,Nuclear magnetic resonance spectroscopy--Diagnostic use.</t>
  </si>
  <si>
    <t>Ma, Jingfei.-Cheung, Humairah Samad.-Tse, Gary M.</t>
  </si>
  <si>
    <t>Laser Keratectomy</t>
  </si>
  <si>
    <t>Approaches, Complications, and Effectiveness</t>
  </si>
  <si>
    <t>RE336 .L265 2009eb</t>
  </si>
  <si>
    <t>Cornea--Laser surgery.,Refractive keratoplasty.</t>
  </si>
  <si>
    <t>Walter, Felix J.-SchroÌˆder, Luis W.</t>
  </si>
  <si>
    <t>Handbook on Mass Spectrometry</t>
  </si>
  <si>
    <t>Instrumentation, Data and Analysis, and Applications</t>
  </si>
  <si>
    <t>SCIENCE / Chemistry / Analytic</t>
  </si>
  <si>
    <t>QD96.M3 H36 2009eb</t>
  </si>
  <si>
    <t>Chemistry, Analytic.,Mass spectrometry.</t>
  </si>
  <si>
    <t>Lang, J. K.</t>
  </si>
  <si>
    <t>Advances in Chemistry Research Series</t>
  </si>
  <si>
    <t>Foundations and Applications of Variational and Perturbation Methods</t>
  </si>
  <si>
    <t>MATHEMATICS / Differential Equations / General</t>
  </si>
  <si>
    <t>QA871 .V285 2009eb</t>
  </si>
  <si>
    <t>Perturbation (Mathematics),Perturbation (Quantum dynamics),Variational principles.</t>
  </si>
  <si>
    <t>Vatsya, S. Raj.</t>
  </si>
  <si>
    <t>Historical Dictionary of the Kurds</t>
  </si>
  <si>
    <t>DS59.K86 G86 2011eb</t>
  </si>
  <si>
    <t>Kurds--History--Dictionaries.</t>
  </si>
  <si>
    <t>Gunter, Michael M.</t>
  </si>
  <si>
    <t>Historical Dictionaries of Peoples and Cultures</t>
  </si>
  <si>
    <t>Nigeria</t>
  </si>
  <si>
    <t>Dancing on the Brink</t>
  </si>
  <si>
    <t>JQ3090 .C36 2011eb</t>
  </si>
  <si>
    <t>Ethnic conflict--Nigeria.,Social conflict--Nigeria.</t>
  </si>
  <si>
    <t>Campbell, John</t>
  </si>
  <si>
    <t>Trends in Nursing Research</t>
  </si>
  <si>
    <t>RT42 .T74 2009eb</t>
  </si>
  <si>
    <t>Nursing.</t>
  </si>
  <si>
    <t>Doyle, Jack-Ryan, Adam J.</t>
  </si>
  <si>
    <t>QD431.25.A53 D2eb vol. 4</t>
  </si>
  <si>
    <t>Cancer Prevention Research Compendium</t>
  </si>
  <si>
    <t>RC268 .C3655 2009eb</t>
  </si>
  <si>
    <t>Cancer--Prevention.</t>
  </si>
  <si>
    <t>Conway, Thomas H.</t>
  </si>
  <si>
    <t>Federal Aviation Administration Airspace Redesign and Congestion Management</t>
  </si>
  <si>
    <t>TL725.3.T7 F33 2009eb</t>
  </si>
  <si>
    <t>Air traffic capacity--United States.,Air traffic control--Government policy--United States.,Air traffic control--Technological innovations--United States.,Airport capacity--United States.</t>
  </si>
  <si>
    <t>Rothman, Sidney R.</t>
  </si>
  <si>
    <t>Family History of Osteoporosis</t>
  </si>
  <si>
    <t>RC931.O73 F36 2009eb</t>
  </si>
  <si>
    <t>Bones--Size.,Heredity.,Osteoporosis--Genetic aspects.,Phenotype.</t>
  </si>
  <si>
    <t>Afghani, Afrooz.</t>
  </si>
  <si>
    <t>Exchange Biased and Plain Superconducting Ferromagnetic Layered Hybrids</t>
  </si>
  <si>
    <t>TK454.4.M3 S73 2009eb</t>
  </si>
  <si>
    <t>Ferromagnetic materials--Transport properties.,Ferromagnetism.,Superconductivity.</t>
  </si>
  <si>
    <t>Stamopoulos, Dimosthenis.-Manios, E.-Pissas, M.</t>
  </si>
  <si>
    <t>Research on Evolution Equations Compendium</t>
  </si>
  <si>
    <t>QA377.3 .R47 2009eb</t>
  </si>
  <si>
    <t>Evolution equations.</t>
  </si>
  <si>
    <t>N'Guerekata, Gaston M.</t>
  </si>
  <si>
    <t>Older Adults with HIV</t>
  </si>
  <si>
    <t>An In-depth Examination of an Emerging Population</t>
  </si>
  <si>
    <t>RA643.83 .B74 2009eb</t>
  </si>
  <si>
    <t>AIDS (Disease) in old age--United States.</t>
  </si>
  <si>
    <t>Brennan, Mark</t>
  </si>
  <si>
    <t>HIV/AIDS--medical, Social and Psychological Aspects Series</t>
  </si>
  <si>
    <t>The Case for Big Government</t>
  </si>
  <si>
    <t>JK421 .M328 2010</t>
  </si>
  <si>
    <t>Organizational effectiveness.</t>
  </si>
  <si>
    <t>Madrick, Jeff.-O'Brien, Ruth.</t>
  </si>
  <si>
    <t>Economic Gangsters</t>
  </si>
  <si>
    <t>Corruption, Violence, and the Poverty of Nations</t>
  </si>
  <si>
    <t>BUSINESS &amp; ECONOMICS / Development / Economic Development</t>
  </si>
  <si>
    <t>HV6768 .F57 2010</t>
  </si>
  <si>
    <t>Corruption--Economic aspects.,Economic development.,Political corruption--Economic aspects.,Smuggling.,Violence--Economic aspects.</t>
  </si>
  <si>
    <t>Fisman, Raymond-Miguel, Edward.</t>
  </si>
  <si>
    <t>Foreign Presence in U.S. Science and Technology</t>
  </si>
  <si>
    <t>SCIENCE / Study &amp; Teaching</t>
  </si>
  <si>
    <t>Q183.3.A1 F673 2009eb</t>
  </si>
  <si>
    <t>Science--Study and teaching--United States.,Technology--Study and teaching--United States.</t>
  </si>
  <si>
    <t>Ogelthorpe, David R.</t>
  </si>
  <si>
    <t>Sexually Transmitted Diseases</t>
  </si>
  <si>
    <t>RC200.1 .M37 2009eb</t>
  </si>
  <si>
    <t>Sexually transmitted diseases.</t>
  </si>
  <si>
    <t>Markos, A. R.</t>
  </si>
  <si>
    <t>Disorders of the Lower Genito Urinary Tract Series</t>
  </si>
  <si>
    <t>Lev Davidovich Landau and His Impact on Contemporary Theoretical Physics</t>
  </si>
  <si>
    <t>QC16.L25 S35 2009eb</t>
  </si>
  <si>
    <t>Physics--Philosophy.</t>
  </si>
  <si>
    <t>Licata, Ignazio.-Sakaji, Ammar.</t>
  </si>
  <si>
    <t>Renewable Resources</t>
  </si>
  <si>
    <t>Obtaining, Processing, and Applying</t>
  </si>
  <si>
    <t>TP339 .R497 2009eb</t>
  </si>
  <si>
    <t>Biomass energy.,Plant biotechnology.,Renewable natural resources.</t>
  </si>
  <si>
    <t>Pudel, Frank.-Zaikov, G. E.-KozÅ‚owski, R.</t>
  </si>
  <si>
    <t>Introduction to Documentary, Second Edition</t>
  </si>
  <si>
    <t>Indiana University Press</t>
  </si>
  <si>
    <t>PN1995.9.D6 N539 2010eb</t>
  </si>
  <si>
    <t>Nichols, Bill</t>
  </si>
  <si>
    <t>Bursting the Limits of Time</t>
  </si>
  <si>
    <t>The Reconstruction of Geohistory in the Age of Revolution</t>
  </si>
  <si>
    <t>Q127.E8 R83 2005eb</t>
  </si>
  <si>
    <t>Geology--Europe--History--18th century.,Science--Europe--History--18th century.</t>
  </si>
  <si>
    <t>Rudwick, M. J. S.</t>
  </si>
  <si>
    <t>Access to Knowledge in Africa</t>
  </si>
  <si>
    <t>The Role of Copyright</t>
  </si>
  <si>
    <t>Juta and Company Ltd</t>
  </si>
  <si>
    <t>Juta and Company (Pty) Ltd</t>
  </si>
  <si>
    <t>KQC371 .A934 2010eb</t>
  </si>
  <si>
    <t>Copyright--Africa.,Intellectual property--Africa.</t>
  </si>
  <si>
    <t>Armstrong, C.</t>
  </si>
  <si>
    <t>Electromagnetic Mind Control</t>
  </si>
  <si>
    <t>Fact or Fiction? a Scientific View</t>
  </si>
  <si>
    <t>QP82.2.E43 B524 2009eb</t>
  </si>
  <si>
    <t>Brainwashing.,Electromagnetism--Physiological effect.</t>
  </si>
  <si>
    <t>Binhi, Vladimir N.</t>
  </si>
  <si>
    <t>Applications of Natural Products in Food</t>
  </si>
  <si>
    <t>COOKING / General</t>
  </si>
  <si>
    <t>TX553.A3 A67 2009eb</t>
  </si>
  <si>
    <t>Food additives.,Natural products.</t>
  </si>
  <si>
    <t>Ifesan, Wumi.-Voravuthikunchai, Supayang Piyawan.</t>
  </si>
  <si>
    <t>Food Science and Technology</t>
  </si>
  <si>
    <t>An Essay on the Restoration of Property</t>
  </si>
  <si>
    <t>IHS Press</t>
  </si>
  <si>
    <t>HD1333.G72 E543 2009eb</t>
  </si>
  <si>
    <t>Land reform--England.,Land tenure--England.,Property--England.</t>
  </si>
  <si>
    <t>Belloc, Hilaire-Sharpe, John</t>
  </si>
  <si>
    <t>Nazareth or Social Chaos</t>
  </si>
  <si>
    <t>BX1795.E27 M42 2009eb</t>
  </si>
  <si>
    <t>Agriculture--Religious aspects--Catholic Church.,Christian sociology--Catholic Church.,Economics--Religious aspects--Catholic Church.</t>
  </si>
  <si>
    <t>McNabb, Vincent</t>
  </si>
  <si>
    <t>Studies in the Catholic Social Movement</t>
  </si>
  <si>
    <t>The Persistence of the Negative</t>
  </si>
  <si>
    <t>A Critique of Contemporary Continental Theory</t>
  </si>
  <si>
    <t>Edinburgh University Press</t>
  </si>
  <si>
    <t>B804 .N69 2010eb</t>
  </si>
  <si>
    <t>Continental philosophy.,Critical theory.,Negativity (Philosophy)</t>
  </si>
  <si>
    <t>Noys, Benjamin</t>
  </si>
  <si>
    <t>Grey Literature in Library and Information Studies</t>
  </si>
  <si>
    <t>Z1033.G73 G74 2010eb</t>
  </si>
  <si>
    <t>Grey literature.,Grey literature--Bibliography--Methodology.</t>
  </si>
  <si>
    <t>Farace, Dominic John.-SchoÌˆpfel, Joachim</t>
  </si>
  <si>
    <t>Archimedes, the Center of Gravity, and the First Law of Mechanics</t>
  </si>
  <si>
    <t>The Law of the Lever</t>
  </si>
  <si>
    <t>SCIENCE / Gravity</t>
  </si>
  <si>
    <t>QA839 .A87 2010eb</t>
  </si>
  <si>
    <t>Center of mass--Experiments.,Center of mass--Textbooks.,Mechanics--Experiments.,Mechanics--Textbooks.</t>
  </si>
  <si>
    <t>Assis, AndreÌ Koch Torres</t>
  </si>
  <si>
    <t>Awakening the World</t>
  </si>
  <si>
    <t>A Global Dimension to Spiritual Practice</t>
  </si>
  <si>
    <t>The Golden Sufi Center</t>
  </si>
  <si>
    <t>BODY, MIND &amp; SPIRIT / Inspiration &amp; Personal Growth</t>
  </si>
  <si>
    <t>BL624 .V378 2006eb</t>
  </si>
  <si>
    <t>Spiritual life.</t>
  </si>
  <si>
    <t>Vaughan-Lee, Llewellyn.</t>
  </si>
  <si>
    <t>Spiritual Power</t>
  </si>
  <si>
    <t>How It Works</t>
  </si>
  <si>
    <t>BL624 .V3863 2005eb</t>
  </si>
  <si>
    <t>Indexes</t>
  </si>
  <si>
    <t>A Chapter From the Chicago Manual of Style</t>
  </si>
  <si>
    <t>LANGUAGE ARTS &amp; DISCIPLINES / Library &amp; Information Science / Cataloging &amp; Classification</t>
  </si>
  <si>
    <t>Z695.9 .I523 2010eb</t>
  </si>
  <si>
    <t>Authorship--Handbooks, manuals, etc.,Indexing--Handbooks, manuals, etc.</t>
  </si>
  <si>
    <t>University of Chicago.</t>
  </si>
  <si>
    <t>Words That Work In Business</t>
  </si>
  <si>
    <t>A Practical Guide to Effective Communication in the Workplace</t>
  </si>
  <si>
    <t>PuddleDancer Press</t>
  </si>
  <si>
    <t>HD30.3 .L37 2010eb</t>
  </si>
  <si>
    <t>Communication in organizations.,Interpersonal communication.</t>
  </si>
  <si>
    <t>Lasater, Ike.-Stiles, Julie.</t>
  </si>
  <si>
    <t>Nonviolent Communication Guides</t>
  </si>
  <si>
    <t>Resuscitation of Patients in Ventricular Fibrillation From the Perspective of Emergency Medical Services</t>
  </si>
  <si>
    <t>RC87.9 .B35 2009eb</t>
  </si>
  <si>
    <t>CPR (First aid),Ventricular fibrillation.</t>
  </si>
  <si>
    <t>Baker, Paul W.-Grantham, Hugh J.M.</t>
  </si>
  <si>
    <t>Fruit and Vegetable Consumption and Health</t>
  </si>
  <si>
    <t>QP144.F78 F77 2009eb</t>
  </si>
  <si>
    <t>Fruit in human nutrition.,Vegetables in human nutrition.</t>
  </si>
  <si>
    <t>Eppolito, Harvey.-Papareschi, Anton.</t>
  </si>
  <si>
    <t>Eye Research Developments</t>
  </si>
  <si>
    <t>Glaucoma, Corneal Transplantation, and Bacterial Eye Infections</t>
  </si>
  <si>
    <t>RE871 .E973 2009eb</t>
  </si>
  <si>
    <t>Cornea--Transplantation.,Eye--Infections.,Glaucoma.</t>
  </si>
  <si>
    <t>Westerhouse, Alan N.</t>
  </si>
  <si>
    <t>Biomass Gasification</t>
  </si>
  <si>
    <t>Chemistry, Processes, and Applications</t>
  </si>
  <si>
    <t>TP339 .B566 2009eb</t>
  </si>
  <si>
    <t>Biomass gasification.</t>
  </si>
  <si>
    <t>Levi, Albrecht.-Badeau, Jean-Pierre.</t>
  </si>
  <si>
    <t>Renewable Energy. Research, Development and Policies Series</t>
  </si>
  <si>
    <t>Textbook of Therapeutic Cortical Stimulation</t>
  </si>
  <si>
    <t>RC350.B72 T49 2009eb</t>
  </si>
  <si>
    <t>Brain stimulation--Therapeutic use.</t>
  </si>
  <si>
    <t>Canavero, Sergio</t>
  </si>
  <si>
    <t>Oil Shale Developments</t>
  </si>
  <si>
    <t>TN859.U62 O45 2009eb</t>
  </si>
  <si>
    <t>Oil-shale industry.,Oil-shales.</t>
  </si>
  <si>
    <t>Bussell, Ike S.</t>
  </si>
  <si>
    <t>Energy Science, Engineering and Technology Series</t>
  </si>
  <si>
    <t>Combined Heat and Power</t>
  </si>
  <si>
    <t>Analysis of Various Markets</t>
  </si>
  <si>
    <t>BUSINESS &amp; ECONOMICS / Industries / Energy</t>
  </si>
  <si>
    <t>TK1041 .C67 2009eb</t>
  </si>
  <si>
    <t>Cogeneration of electric power and heat.,Energy conservation.</t>
  </si>
  <si>
    <t>Cory, Jordan A.</t>
  </si>
  <si>
    <t>Carbon Nanotubes</t>
  </si>
  <si>
    <t>A New Alternative for Electrochemical Sensors</t>
  </si>
  <si>
    <t>TA418.9.N35 C348 2009eb</t>
  </si>
  <si>
    <t>Electrochemical sensors--Materials.,Nanotubes.</t>
  </si>
  <si>
    <t>Rivas, Gustavo A.</t>
  </si>
  <si>
    <t>National Nanotechnology Initiative</t>
  </si>
  <si>
    <t>Assessment and Recommendations</t>
  </si>
  <si>
    <t>T174.7 .N3928 2009eb</t>
  </si>
  <si>
    <t>Nanotechnology--Government policy--United States.</t>
  </si>
  <si>
    <t>Kleike, Jerrod W.</t>
  </si>
  <si>
    <t>Strategic Plan for NIOSH Nanotechnology Research and Guidance</t>
  </si>
  <si>
    <t>TECHNOLOGY &amp; ENGINEERING / Industrial Health &amp; Safety</t>
  </si>
  <si>
    <t>T174.7 .S77 2009eb</t>
  </si>
  <si>
    <t>Nanotechnology--Health aspects--Research.</t>
  </si>
  <si>
    <t>Lang, Martin W.-National Institute for Occupational Safety and Health.</t>
  </si>
  <si>
    <t>New Nanotechnology Developments</t>
  </si>
  <si>
    <t>T174.7 .B37 2009eb</t>
  </si>
  <si>
    <t>Nanostructured materials.,Nanotechnology.</t>
  </si>
  <si>
    <t>BarranÌƒoÌn, Armando.</t>
  </si>
  <si>
    <t>Safe Nanotechnology</t>
  </si>
  <si>
    <t>T174.7 S24 2009eb</t>
  </si>
  <si>
    <t>Nanostructured materials industry--Safety measures.,Nanotechnology--Safety measures.</t>
  </si>
  <si>
    <t>Cornwelle, Arthur J.-National Institute for Occupational Safety and Health.</t>
  </si>
  <si>
    <t>Safe Nanotechnology in the Workplace</t>
  </si>
  <si>
    <t>T174.7 .S24 2009eb</t>
  </si>
  <si>
    <t>Bialor, Nathan I.</t>
  </si>
  <si>
    <t>Thin-film Solar Cells</t>
  </si>
  <si>
    <t>TECHNOLOGY &amp; ENGINEERING / Electrical</t>
  </si>
  <si>
    <t>TA418.9.T45 T44 2009eb</t>
  </si>
  <si>
    <t>Crystals--Thermal properties.,Solar cells.,Thin films.</t>
  </si>
  <si>
    <t>Kaya, Hakim.-Sahin, Abban.</t>
  </si>
  <si>
    <t>Medicinal Plants</t>
  </si>
  <si>
    <t>Classification, Biosynthesis and Pharmacology</t>
  </si>
  <si>
    <t>HEALTH &amp; FITNESS / Herbal Medications</t>
  </si>
  <si>
    <t>RS164 .M354 2009eb</t>
  </si>
  <si>
    <t>Materia medica, Vegetable.,Medicinal plants.,Pharmacognosy.</t>
  </si>
  <si>
    <t>IbanÌƒez, Jasiah.-Varela, Alejandro.</t>
  </si>
  <si>
    <t>Integrated Circuits, Photodiodes and Organic Field Effect Transistors</t>
  </si>
  <si>
    <t>TECHNOLOGY &amp; ENGINEERING / Electronics / Circuits / General</t>
  </si>
  <si>
    <t>TK7874 .I47142 2009eb</t>
  </si>
  <si>
    <t>Diodes.,Organic field-effect transistors.</t>
  </si>
  <si>
    <t>Donnell, Pierre.-McIntire, Robert.</t>
  </si>
  <si>
    <t>Flavonoids</t>
  </si>
  <si>
    <t>Biosynthesis, Biological Effects and Dietary Sources</t>
  </si>
  <si>
    <t>QP671.F52 F527 2009eb</t>
  </si>
  <si>
    <t>Flavonoids.</t>
  </si>
  <si>
    <t>Keller, Raymond B.</t>
  </si>
  <si>
    <t>Game Theory</t>
  </si>
  <si>
    <t>Strategies, Equilibria, and Theorems</t>
  </si>
  <si>
    <t>QA269 .G34 2009eb</t>
  </si>
  <si>
    <t>Haugen, Ingrid N.-Nilsen, Anna S.</t>
  </si>
  <si>
    <t>Heart Disease in Men</t>
  </si>
  <si>
    <t>RC681 .H367 2009eb</t>
  </si>
  <si>
    <t>Heart--Diseases.,Men--Diseases.</t>
  </si>
  <si>
    <t>Mosley, Margo H.-Todd, Alice B.</t>
  </si>
  <si>
    <t>China's Forests</t>
  </si>
  <si>
    <t>Global Lessons From Market Reforms</t>
  </si>
  <si>
    <t>SD643 .C45 2003eb</t>
  </si>
  <si>
    <t>Forest management--China.,Forest policy--China.,Forests and forestry--Economic aspects--China.</t>
  </si>
  <si>
    <t>Xu, Jintao.-Belcher, Brian M.-Hyde, William F.</t>
  </si>
  <si>
    <t>Renewable Energies</t>
  </si>
  <si>
    <t>Feasibility, Time and Cost Options</t>
  </si>
  <si>
    <t>TECHNOLOGY &amp; ENGINEERING / Power Resources / Alternative &amp; Renewable</t>
  </si>
  <si>
    <t>TJ808 .B66 2009eb</t>
  </si>
  <si>
    <t>Renewable energy sources.,Renewable energy sources--Costs.</t>
  </si>
  <si>
    <t>Bockris, J. O'M</t>
  </si>
  <si>
    <t>Corn Straw and Biomass Blends</t>
  </si>
  <si>
    <t>Combustion Characteristics and NO Formation</t>
  </si>
  <si>
    <t>TP156.P9 L55 2009eb</t>
  </si>
  <si>
    <t>Biomass energy.,Corn straw.,Pyrolysis.</t>
  </si>
  <si>
    <t>Li, Zhengqi.</t>
  </si>
  <si>
    <t>Computational Techniques</t>
  </si>
  <si>
    <t>The Multiphase CFD Approach to Fluidization and Green Energy Technologies</t>
  </si>
  <si>
    <t>TJ163.3 .G53 2009eb</t>
  </si>
  <si>
    <t>Energy conservation--Mathematics.,Energy consumption--Mathematical models.,Fluidization.</t>
  </si>
  <si>
    <t>Gidaspow, Dimitri-Jiradilok, Veeraya.</t>
  </si>
  <si>
    <t>Ethanol Biofuel Production</t>
  </si>
  <si>
    <t>TP339 .E84 2009eb</t>
  </si>
  <si>
    <t>Biomass energy.,Ethanol as fuel.</t>
  </si>
  <si>
    <t>Haas, Bratt P.</t>
  </si>
  <si>
    <t>Hydrogen Fuel Perspectives</t>
  </si>
  <si>
    <t>TP359.H8 H93 2009eb</t>
  </si>
  <si>
    <t>Hydrogen as fuel.</t>
  </si>
  <si>
    <t>Rubio, Ian S.</t>
  </si>
  <si>
    <t>Energy Policies, Politics and Prices Series</t>
  </si>
  <si>
    <t>Nuclear Power's Role in Generating Electricity</t>
  </si>
  <si>
    <t>TK1078 . N83  2009eb</t>
  </si>
  <si>
    <t>Electric power production--Economic aspects--United States.,Electric power production--Environmental aspects--United States.,Nuclear energy--United States.</t>
  </si>
  <si>
    <t>Furham, Perry G.</t>
  </si>
  <si>
    <t>Sleep Apnea Syndrome From Clinical and Neurophysiological Aspects in the Stomatognathic System</t>
  </si>
  <si>
    <t>RC737.5 .Y67 2009eb</t>
  </si>
  <si>
    <t>Yoshida, Kazuya</t>
  </si>
  <si>
    <t>Sleep - Physiology, Functions, Dreaming and Disorders Series</t>
  </si>
  <si>
    <t>Sex Chromosomes</t>
  </si>
  <si>
    <t>Genetics, Abnormalities and Disorders</t>
  </si>
  <si>
    <t>MEDICAL / Genetics</t>
  </si>
  <si>
    <t>RB155.5 .S48 2009eb</t>
  </si>
  <si>
    <t>Sex chromosome abnormalities.,Sex chromosomes.</t>
  </si>
  <si>
    <t>Jefferson, Sally E.-Weingarten, Cynthia N.</t>
  </si>
  <si>
    <t>Genetics--research and Issues Series</t>
  </si>
  <si>
    <t>Social Inclusion and Mental Health</t>
  </si>
  <si>
    <t>RC451.G7 S63 2010eb</t>
  </si>
  <si>
    <t>Marginality, Social--Great Britain.,Mentally ill--Great Britain.,Social psychiatry--Great Britain.</t>
  </si>
  <si>
    <t>Boardman, Jed.</t>
  </si>
  <si>
    <t>Mental Health Outcome Measures</t>
  </si>
  <si>
    <t>RA790.5 .M45 2010eb</t>
  </si>
  <si>
    <t>Mental health services--Research--Methodology.,Psychiatry--Research--Methodology.</t>
  </si>
  <si>
    <t>Tansella, Michele.-Thornicroft, Graham.</t>
  </si>
  <si>
    <t>George Russell</t>
  </si>
  <si>
    <t>The Story of an American Composer</t>
  </si>
  <si>
    <t>ML410.R96 H45 2010eb</t>
  </si>
  <si>
    <t>Composers--United States--Biography.,Jazz musicians--United States--Biography.</t>
  </si>
  <si>
    <t>Heining, Duncan</t>
  </si>
  <si>
    <t>African American Cultural Theory and Heritage</t>
  </si>
  <si>
    <t>Historical Dictionary of Mongolia</t>
  </si>
  <si>
    <t>HISTORY / Asia / General</t>
  </si>
  <si>
    <t>DS798.5 .S36 2010eb</t>
  </si>
  <si>
    <t>Mongols--History--Dictionaries.</t>
  </si>
  <si>
    <t>Sanders, Alan J. K.</t>
  </si>
  <si>
    <t>Historical Dictionary of Malta</t>
  </si>
  <si>
    <t>DG989.8 .R83 2010eb</t>
  </si>
  <si>
    <t>Rudolf, Uwe Jens-Berg, Warren G.</t>
  </si>
  <si>
    <t>Historical Dictionaries of Europe</t>
  </si>
  <si>
    <t>The Other Women's Lib</t>
  </si>
  <si>
    <t>Gender and Body in Japanese Women's Fiction</t>
  </si>
  <si>
    <t>LITERARY CRITICISM / Asian / Japanese</t>
  </si>
  <si>
    <t>PL747.82.W64 B85 2010eb</t>
  </si>
  <si>
    <t>Feminist literary criticism--Japan.,Gender identity in literature.,Human body in literature.,Japanese fiction--20th century--History and criticism.,Japanese fiction--Women authors--History and criticism.,Women in literature.,Women--Japan--Identity.</t>
  </si>
  <si>
    <t>Bullock, Julia C.</t>
  </si>
  <si>
    <t>Loving Little Egypt</t>
  </si>
  <si>
    <t>PS3563.C3858 L6 2003eb</t>
  </si>
  <si>
    <t>Blind--Fiction.,People with visual disabilities--Fiction.,Physicists--Fiction.,Telecommunication systems--Fiction.,Telephone--Fiction.</t>
  </si>
  <si>
    <t>McMahon, Thomas A.</t>
  </si>
  <si>
    <t>Phoenix Fiction</t>
  </si>
  <si>
    <t>Call of the Camino</t>
  </si>
  <si>
    <t>Myths, Legends and Pilgrim Stories on the Way to Santiago De Compostela</t>
  </si>
  <si>
    <t>TRAVEL / Special Interest / Religious</t>
  </si>
  <si>
    <t>BX2321.S3 M85 2010eb</t>
  </si>
  <si>
    <t>Pilgrims and pilgrimages--Camino de Santiago de Compostela.</t>
  </si>
  <si>
    <t>Mullen, Robert</t>
  </si>
  <si>
    <t>The Gift of Forgiveness</t>
  </si>
  <si>
    <t>A Magical Encounter with Don Miguel Ruiz</t>
  </si>
  <si>
    <t>BJ1476 .C54 2010eb</t>
  </si>
  <si>
    <t>Forgiveness.,Toltec philosophy.</t>
  </si>
  <si>
    <t>Clerc, Olivier-Leach, Nicky.</t>
  </si>
  <si>
    <t>The Confident Creative</t>
  </si>
  <si>
    <t>Drawing to Free the Hand and Mind</t>
  </si>
  <si>
    <t>SELF-HELP / Creativity</t>
  </si>
  <si>
    <t>NC715 .B455 2010eb</t>
  </si>
  <si>
    <t>Creative ability.,Drawing ability.,Drawing, Psychology of.,Drawing.,Drawing--Technique.,Imagination.</t>
  </si>
  <si>
    <t>Bennett, Cat.</t>
  </si>
  <si>
    <t>Princes, Frogs and Ugly Sisters</t>
  </si>
  <si>
    <t>The Healing Power of the Grimm Brothers' Tales</t>
  </si>
  <si>
    <t>BODY, MIND &amp; SPIRIT / Mysticism</t>
  </si>
  <si>
    <t>GR550 .H86 2010eb</t>
  </si>
  <si>
    <t>Fairy tales--History and criticism.,Psychoanalysis and fairy tales.,Self-actualization (Psychology)</t>
  </si>
  <si>
    <t>Hunter, Allan G.</t>
  </si>
  <si>
    <t>Atherosclerosis</t>
  </si>
  <si>
    <t>Understanding Pathogenesis and Challenge for Treatment</t>
  </si>
  <si>
    <t>RC692 .A84 2009eb</t>
  </si>
  <si>
    <t>Atherosclerosis.,Atherosclerosis--Pathogenesis.,Atherosclerosis--Treatment.</t>
  </si>
  <si>
    <t>Mitrovska, Slavica.</t>
  </si>
  <si>
    <t>Advances in Polymer Latex Technology</t>
  </si>
  <si>
    <t>TP156.P6 M48 2009eb</t>
  </si>
  <si>
    <t>Latex.,Polymerization.</t>
  </si>
  <si>
    <t>Mittal, Vikas.</t>
  </si>
  <si>
    <t>Polymer Science and Technology Series</t>
  </si>
  <si>
    <t>High Nonlinearity Optical Fiber Technology</t>
  </si>
  <si>
    <t>TECHNOLOGY &amp; ENGINEERING / Fiber Optics</t>
  </si>
  <si>
    <t>TA1800 .L44 2009</t>
  </si>
  <si>
    <t>Fiber optics.,Optical fiber communication.</t>
  </si>
  <si>
    <t>Lee, Ju Han.</t>
  </si>
  <si>
    <t>Mathematical Physics Research Developments</t>
  </si>
  <si>
    <t>QC20.8 .M375 2009eb</t>
  </si>
  <si>
    <t>Mathematical physics.</t>
  </si>
  <si>
    <t>Levy, Morris B.</t>
  </si>
  <si>
    <t>Arctic National Wildlife Refuge</t>
  </si>
  <si>
    <t>A Review</t>
  </si>
  <si>
    <t>TRAVEL / Special Interest / Ecotourism</t>
  </si>
  <si>
    <t>QL84.22.A4 L54 2009eb</t>
  </si>
  <si>
    <t>Natural history--Alaska--Arctic National Wildlife Refuge.</t>
  </si>
  <si>
    <t>Lieland, Barbara T.</t>
  </si>
  <si>
    <t>From Femto-to Attoscience and Beyond</t>
  </si>
  <si>
    <t>TECHNOLOGY &amp; ENGINEERING / Lasers &amp; Photonics</t>
  </si>
  <si>
    <t>QC689.5.L37 M37 2009eb</t>
  </si>
  <si>
    <t>Laser pulses, Ultrashort.,Rydberg states.,Transport theory--Mathematics.</t>
  </si>
  <si>
    <t>Marciak-KozÅ‚owska, Janina.-KozÅ‚owski, MirosÅ‚aw.</t>
  </si>
  <si>
    <t>Lasers and Electro-optics Research and Technology Series</t>
  </si>
  <si>
    <t>Fundamentals and Applications of Biosorption Isotherms, Kinetics and Thermodynamics</t>
  </si>
  <si>
    <t>TP248.27.M53 L58 2009eb</t>
  </si>
  <si>
    <t>Adsorption (Biology),Microbial biotechnology.</t>
  </si>
  <si>
    <t>Liu, Yu.-Wang, Jianlong.</t>
  </si>
  <si>
    <t>Progress in Applied Statistics Research</t>
  </si>
  <si>
    <t>QA276.18 .P76 2009eb</t>
  </si>
  <si>
    <t>Statistics.</t>
  </si>
  <si>
    <t>Ahsanullah, M.</t>
  </si>
  <si>
    <t>Wildlife</t>
  </si>
  <si>
    <t>Destruction, Conservation and Biodiversity</t>
  </si>
  <si>
    <t>QH75 .W528 2009eb</t>
  </si>
  <si>
    <t>Endangered species.,Nature conservation.,Nature--Effect of human beings on.</t>
  </si>
  <si>
    <t>Harris, John D.-Brown, Paul L.</t>
  </si>
  <si>
    <t>Wildlife Protection, Destruction and Extinction Series</t>
  </si>
  <si>
    <t>Formation, Eruptions and Modelling</t>
  </si>
  <si>
    <t>NATURE / Earthquakes &amp; Volcanoes</t>
  </si>
  <si>
    <t>QE522 .V65 2009</t>
  </si>
  <si>
    <t>Petrology--Mathematical models.,Three-dimensional imaging.,Volcanism.,Volcanoes.</t>
  </si>
  <si>
    <t>Lewis, Neil-Moretti, Antonio.</t>
  </si>
  <si>
    <t>Treatment of Tannery Effluents by Membrane Separation Technology</t>
  </si>
  <si>
    <t>TD899.T3 D385 2009eb</t>
  </si>
  <si>
    <t>Membrane separation.,Sewage--Purification.,Tanneries--Waste disposal.,Water--Purification--Membrane filtration.</t>
  </si>
  <si>
    <t>De, Sirshendu.-Das, Chandan.-DasGupta, Sunando.</t>
  </si>
  <si>
    <t>Chemical Engineering Methods and Technology Series</t>
  </si>
  <si>
    <t>The Arctic Observing Network</t>
  </si>
  <si>
    <t>QH541.15.M64 A73 2009eb</t>
  </si>
  <si>
    <t>Climatic changes--Arctic regions.,Environmental monitoring--Arctic regions--International cooperation.,Global environmental change.</t>
  </si>
  <si>
    <t>Calahan, Thomas R.</t>
  </si>
  <si>
    <t>Artic Region an Antartica Issues and Research Series</t>
  </si>
  <si>
    <t>The Human Genome</t>
  </si>
  <si>
    <t>Features, Variations and Genetic Disorders</t>
  </si>
  <si>
    <t>RB155 .H8475 2009eb</t>
  </si>
  <si>
    <t>Human genome.,Medical genetics.</t>
  </si>
  <si>
    <t>Nakano, Mai.-Matsumoto, Akio</t>
  </si>
  <si>
    <t>Genetics - Research and Issues Series</t>
  </si>
  <si>
    <t>Technologies and Management for Sustainable Biosystems</t>
  </si>
  <si>
    <t>TD429 .T43 2009eb</t>
  </si>
  <si>
    <t>Biological systems.,Salvage (Waste, etc.),Sustainable development.,Water reuse.</t>
  </si>
  <si>
    <t>Nair, Jaya.</t>
  </si>
  <si>
    <t>Substance Withdrawal Syndrome</t>
  </si>
  <si>
    <t>RM302.6 .S83 2009eb</t>
  </si>
  <si>
    <t>Drug withdrawal symptoms.</t>
  </si>
  <si>
    <t>Woodhouse, Olivia B.-Rees, Janet P.</t>
  </si>
  <si>
    <t>Drug Transit and Distribution, Interception and Control Series</t>
  </si>
  <si>
    <t>Strength of Materials</t>
  </si>
  <si>
    <t>TA405 .S765 2009eb</t>
  </si>
  <si>
    <t>Composite materials.,Strength of materials.</t>
  </si>
  <si>
    <t>Lago, Bruno.-Mendes, Gustavo.</t>
  </si>
  <si>
    <t>Superconducting Magnets and Superconductivity</t>
  </si>
  <si>
    <t>QC761.3 .S87 2009eb</t>
  </si>
  <si>
    <t>Superconducting magnet.,Superconductivity.</t>
  </si>
  <si>
    <t>Fortier, Jonathon.-Tovar, Henry.</t>
  </si>
  <si>
    <t>Sludge</t>
  </si>
  <si>
    <t>Types, Treatment Processes and Disposal</t>
  </si>
  <si>
    <t>TD767 .S62 2009eb</t>
  </si>
  <si>
    <t>Sewage disposal.,Sewage sludge.,Sewage--Purification.</t>
  </si>
  <si>
    <t>Baily, Richard E.</t>
  </si>
  <si>
    <t>Remediation of Soils and Aquifers</t>
  </si>
  <si>
    <t>TD878 .R4587 2009eb</t>
  </si>
  <si>
    <t>Aquifer storage recovery.,Soil pollution.,Soil remediation.,Water--Pollution.,Water--Purification.,Wellhead protection.</t>
  </si>
  <si>
    <t>Geng T., Luis.-Bandala, Erick R.</t>
  </si>
  <si>
    <t>Radar Technology Applied to Migratory Conservation and Management</t>
  </si>
  <si>
    <t>NATURE / Animals / Birds</t>
  </si>
  <si>
    <t>QL698.9 .R27 2009eb</t>
  </si>
  <si>
    <t>Birds--Conservation--Congresses.,Birds--Migration--Congresses.,Radar in ornithology--Congresses.</t>
  </si>
  <si>
    <t>Myers, Mark D.-Kempthorne, Dirk-Geological Survey (U.S.)</t>
  </si>
  <si>
    <t>U.S. Geological Survey Open-file Report</t>
  </si>
  <si>
    <t>Railway Transportation</t>
  </si>
  <si>
    <t>Policies, Technology and Perspectives</t>
  </si>
  <si>
    <t>TRANSPORTATION / Railroads / Pictorial</t>
  </si>
  <si>
    <t>TF145 .R25 2009eb</t>
  </si>
  <si>
    <t>Railroad engineering.,Railroads.</t>
  </si>
  <si>
    <t>Scott, Nicholas P.</t>
  </si>
  <si>
    <t>Transportation Issues, Policies and R &amp; D Series</t>
  </si>
  <si>
    <t>Progress in Management Engineering</t>
  </si>
  <si>
    <t>BUSINESS &amp; ECONOMICS / Management</t>
  </si>
  <si>
    <t>T56.42 .P76 2009eb</t>
  </si>
  <si>
    <t>Industrial engineering--Research.</t>
  </si>
  <si>
    <t>Gragg, Lucas P.-Cassell, Jan M.</t>
  </si>
  <si>
    <t>Business Issues, Competition and Entrepreneurship</t>
  </si>
  <si>
    <t>Pyrolysis</t>
  </si>
  <si>
    <t>Types, Processes, and Industrial Sources and Products</t>
  </si>
  <si>
    <t>TP156.P9 D66 2009eb</t>
  </si>
  <si>
    <t>Pyrolysis.</t>
  </si>
  <si>
    <t>Brandt, Jack C.-Donahue, Walker S.</t>
  </si>
  <si>
    <t>Progress in Neurodegeneration</t>
  </si>
  <si>
    <t>The Role of Metals</t>
  </si>
  <si>
    <t>RC365 .A95 2009eb</t>
  </si>
  <si>
    <t>Metals--Toxicology.,Nervous system--Degeneration.,Neurotoxicology.</t>
  </si>
  <si>
    <t>Avila-Costa, Maria Rosa.-Martinez, Veronica Anaya.</t>
  </si>
  <si>
    <t>Neurodegenerative Diseases--laboratory and Clinical Research Series</t>
  </si>
  <si>
    <t>Process Engineering in Plant-based Products</t>
  </si>
  <si>
    <t>TP248.B55 C475 2009eb</t>
  </si>
  <si>
    <t>Biochemical engineering.,Biomass chemicals.,Chemical processes.,Energy crops.</t>
  </si>
  <si>
    <t>Chen, Hongzhang.</t>
  </si>
  <si>
    <t>Power Systems Applications of Graph Theory</t>
  </si>
  <si>
    <t>TK1005 .Z47 2009eb</t>
  </si>
  <si>
    <t>Electric power distribution--Mathematical models.,Electric power systems--Mathematical models.,Graph theory.,System analysis.</t>
  </si>
  <si>
    <t>Zhu, Jizhong</t>
  </si>
  <si>
    <t>Polymer Nanocomposites</t>
  </si>
  <si>
    <t>Advances in Filler Surface Modification Techniques</t>
  </si>
  <si>
    <t>TP159.F47 P65 2009eb</t>
  </si>
  <si>
    <t>Composite materials.,Fillers (Materials)--Surfaces.,Nanotechnology.</t>
  </si>
  <si>
    <t>Polymer Electrolyte Membrane Fuel Cells and Electrocatalysts</t>
  </si>
  <si>
    <t>TK2931 .P65 2009eb</t>
  </si>
  <si>
    <t>Electrocatalysis.,Proton exchange membrane fuel cells.</t>
  </si>
  <si>
    <t>Esposito, Richard-Conti, Antonio</t>
  </si>
  <si>
    <t>Plasma Physics Research Advances</t>
  </si>
  <si>
    <t>QC718 .P528 2009eb</t>
  </si>
  <si>
    <t>Plasma (Ionized gases)--Research.</t>
  </si>
  <si>
    <t>Gromov, Sergei P.</t>
  </si>
  <si>
    <t>Phosphate Solubilizing Microbes for Crop Improvement</t>
  </si>
  <si>
    <t>QR111 .P46 2009eb</t>
  </si>
  <si>
    <t>Crop improvement.,Phosphates--Solubility.,Soil microbiology.</t>
  </si>
  <si>
    <t>Khan, Mohammad Saghir.-Zaidi, Almas.</t>
  </si>
  <si>
    <t>Agriculture Issues and Policies Series</t>
  </si>
  <si>
    <t>Perspectives on Lipase Enzyme Technology</t>
  </si>
  <si>
    <t>TP248.65.E59 M35 2009eb</t>
  </si>
  <si>
    <t>Lipase--Biotechnology.</t>
  </si>
  <si>
    <t>Mala, J. Geraldine Sandana.-Takeuchi, Satoru.</t>
  </si>
  <si>
    <t>Oligomeric State of Substances</t>
  </si>
  <si>
    <t>QD382.O43 M494 2009eb</t>
  </si>
  <si>
    <t>Oligomers--Structure.</t>
  </si>
  <si>
    <t>MezhikovskiiÌ†, S. M.-Deberdeev, R. Ya.-Arinstein, Arkadii E.</t>
  </si>
  <si>
    <t>Operator Splittings and Their Applications</t>
  </si>
  <si>
    <t>MATHEMATICS / Functional Analysis</t>
  </si>
  <si>
    <t>QA329 .F36 2009eb</t>
  </si>
  <si>
    <t>Decomposition (Mathematics),Operator theory.,Splitting extrapolation method.</t>
  </si>
  <si>
    <t>FaragoÌ, I.-Havasiy, Agnes</t>
  </si>
  <si>
    <t>Nutritional Biochemistry of Space Flight</t>
  </si>
  <si>
    <t>HEALTH &amp; FITNESS / Diet &amp; Nutrition / Food Content Guides</t>
  </si>
  <si>
    <t>TX361.S63 N88 2009eb</t>
  </si>
  <si>
    <t>Astronauts--Nutrition.</t>
  </si>
  <si>
    <t>Smith, Scott M.</t>
  </si>
  <si>
    <t>Online Engineering</t>
  </si>
  <si>
    <t>T59.5 .G87 2009eb</t>
  </si>
  <si>
    <t>Automation.</t>
  </si>
  <si>
    <t>Gupta, Navarun.-Ray, Saikat.-Sobh, Tarek M.</t>
  </si>
  <si>
    <t>Numerical Simulation Research Progress</t>
  </si>
  <si>
    <t>MATHEMATICS / Numerical Analysis</t>
  </si>
  <si>
    <t>QA298 .N86 2009eb</t>
  </si>
  <si>
    <t>Numerical analysis--Research.,Numerical analysis--Simulation methods.,Quantitative research--Mathematical models.</t>
  </si>
  <si>
    <t>Colombo, Simone P.-Rizzo, Christian L.</t>
  </si>
  <si>
    <t>New Developments in Medicinal Chemistry</t>
  </si>
  <si>
    <t>RS403 .N48 2009eb</t>
  </si>
  <si>
    <t>Pharmaceutical chemistry.</t>
  </si>
  <si>
    <t>Gil, Irene C.-Ortega, Marta P.</t>
  </si>
  <si>
    <t>Nitrous Oxide Emissions Research Progress</t>
  </si>
  <si>
    <t>TD885.5.N5 S54 2009eb</t>
  </si>
  <si>
    <t>Agricultural pollution.,Air--Pollution.,Grasslands.,Grazing--Environmental aspects.,Greenhouse gas mitigation.,Nitrogen cycle.,Nitrous oxide--Environmental aspects.</t>
  </si>
  <si>
    <t>Sheldon, Adam I.-Barnhart, Edward P.</t>
  </si>
  <si>
    <t>Environmental Science, Engineering, and Technology</t>
  </si>
  <si>
    <t>New Directions in Aging Research</t>
  </si>
  <si>
    <t>Health and Cognition</t>
  </si>
  <si>
    <t>RC524 .N493 2009eb</t>
  </si>
  <si>
    <t>Cognition in old age.,Senile dementia.</t>
  </si>
  <si>
    <t>Brougham, Ruby R.</t>
  </si>
  <si>
    <t>Aging Issues, Health and Financial Alternatives Series</t>
  </si>
  <si>
    <t>New Plant Physiology Research</t>
  </si>
  <si>
    <t>QK714 .N49 2009eb</t>
  </si>
  <si>
    <t>Plant physiology--Research.</t>
  </si>
  <si>
    <t>Devane, Robert T.</t>
  </si>
  <si>
    <t>Botanical Research and Practice Series</t>
  </si>
  <si>
    <t>Neurochemistry</t>
  </si>
  <si>
    <t>Molecular Aspects, Cellular Aspects and Clinical Applications</t>
  </si>
  <si>
    <t>QP356.3 .N4674 2009eb</t>
  </si>
  <si>
    <t>Nervous system--Pathophysiology.,Neurochemistry.</t>
  </si>
  <si>
    <t>Nogueira, Silvio.-PacÌ§os, Anacleto.</t>
  </si>
  <si>
    <t>Multiple Myeloma</t>
  </si>
  <si>
    <t>Symptoms, Diagnosis and Treatment</t>
  </si>
  <si>
    <t>RC280.B6 M8515 2009eb</t>
  </si>
  <si>
    <t>Multiple myeloma.</t>
  </si>
  <si>
    <t>Bachev, Evgeni.-Georgiev, Milen.</t>
  </si>
  <si>
    <t>Nanostructured Materials for Electrochemical Biosensors</t>
  </si>
  <si>
    <t>MEDICAL / Biotechnology</t>
  </si>
  <si>
    <t>R857.B54 N36 2009eb</t>
  </si>
  <si>
    <t>Biosensors.,Electrochemical sensors.,Nanostructured materials.</t>
  </si>
  <si>
    <t>Chen, Shen-Ming.-Kumar, S. Ashok.-Yogeswaran, Umasankar.</t>
  </si>
  <si>
    <t>Measure of Non-compactness for Integral Operators in Weighted Lebesgue Spaces</t>
  </si>
  <si>
    <t>QA329.6 .M47 2009eb</t>
  </si>
  <si>
    <t>Integral operators.,Lebesgue integral.,Maximal functions.,Measure theory.</t>
  </si>
  <si>
    <t>Meskhi, Alexander.</t>
  </si>
  <si>
    <t>Milk Consumption and Health</t>
  </si>
  <si>
    <t>QP144.M54 M55 2009eb</t>
  </si>
  <si>
    <t>Milk in human nutrition.</t>
  </si>
  <si>
    <t>Lange, Ebbe.-Vogel, Felix.</t>
  </si>
  <si>
    <t>Mesoporous Materials</t>
  </si>
  <si>
    <t>TA418.9.P6 M47 2009eb</t>
  </si>
  <si>
    <t>Catalysts.,Mesoporous materials.,Molecular sieves.</t>
  </si>
  <si>
    <t>Burness, Lynn T.</t>
  </si>
  <si>
    <t>Medical Career Choice</t>
  </si>
  <si>
    <t>A Gender Study</t>
  </si>
  <si>
    <t>MEDICAL / Essays</t>
  </si>
  <si>
    <t>R692 .M5513 2009eb</t>
  </si>
  <si>
    <t>Women physicians--Brazil--Sa~o Paulo.</t>
  </si>
  <si>
    <t>Millan, Luiz Roberto.</t>
  </si>
  <si>
    <t>Medicare</t>
  </si>
  <si>
    <t>A Primer</t>
  </si>
  <si>
    <t>MEDICAL / Medicaid &amp; Medicare</t>
  </si>
  <si>
    <t>RA412.3 .M4266 2009eb</t>
  </si>
  <si>
    <t>Medicare.</t>
  </si>
  <si>
    <t>Williamson, Alice R.</t>
  </si>
  <si>
    <t>Magnesium and Pyridoxine</t>
  </si>
  <si>
    <t>Fundamental Studies and Clinical Practice</t>
  </si>
  <si>
    <t>QP535.M4 T67 2009eb</t>
  </si>
  <si>
    <t>Magnesium deficiency diseases.,Magnesium in the body.,Magnesium--Physiological effect.,Vitamin B6.</t>
  </si>
  <si>
    <t>Torshin, Ivan Y.-Gromova, Olgar.</t>
  </si>
  <si>
    <t>Biochemistry Research Trends Series</t>
  </si>
  <si>
    <t>Lightning in the Tropics</t>
  </si>
  <si>
    <t>From a Source of Fire to a Monitoring System of Climatic Changes</t>
  </si>
  <si>
    <t>QC966 .P56 2009eb</t>
  </si>
  <si>
    <t>Global warming.,Lightning--Tropics--Observations.</t>
  </si>
  <si>
    <t>Pinto, Osmar.</t>
  </si>
  <si>
    <t>Introduction to Power Generation Technologies</t>
  </si>
  <si>
    <t>TK1001 .P596 2009eb</t>
  </si>
  <si>
    <t>Electric power production.</t>
  </si>
  <si>
    <t>Poullikkas, Andreas.</t>
  </si>
  <si>
    <t>Integrated Water Resource Management in the Kurdistan Region</t>
  </si>
  <si>
    <t>TD313.I7 H47 2009eb</t>
  </si>
  <si>
    <t>Integrated water development--Kurdistan.,Water--Government policy.,Water--Purification--Kurdistan.,Water-supply--Kurdistan--Management.</t>
  </si>
  <si>
    <t>Heshmati, Almas.</t>
  </si>
  <si>
    <t>Water Resource Planning, Development and Management Series</t>
  </si>
  <si>
    <t>Impulsivity</t>
  </si>
  <si>
    <t>Causes, Control and Disorders</t>
  </si>
  <si>
    <t>RC569.5.I46 I485 2009eb</t>
  </si>
  <si>
    <t>Compulsive behavior.,Impulse control disorders.,Impulse.</t>
  </si>
  <si>
    <t>Lassiter, George H.</t>
  </si>
  <si>
    <t>Psychology of Emotions, Motivations and Actions Series</t>
  </si>
  <si>
    <t>Indoor Work and Living Environments</t>
  </si>
  <si>
    <t>Health, Safety and Performance</t>
  </si>
  <si>
    <t>TD883.17 .I54 2009eb</t>
  </si>
  <si>
    <t>Human beings--Effect of environment on.,Indoor air pollution--Health aspects.,Indoor air quality.,Work environment.</t>
  </si>
  <si>
    <t>Harris, Robert G.-Moore, Daniel P.</t>
  </si>
  <si>
    <t>Histological and Serological Tumor Markers and Gene Expression and Their Clinical Usefulness in Cancers</t>
  </si>
  <si>
    <t>RC270.3.T84 H57 2009eb</t>
  </si>
  <si>
    <t>Tumor markers.</t>
  </si>
  <si>
    <t>Hellberg, Dan.</t>
  </si>
  <si>
    <t>Health Care Costs</t>
  </si>
  <si>
    <t>Causes, Effects and Control</t>
  </si>
  <si>
    <t>RA410 .H38 2009eb</t>
  </si>
  <si>
    <t>Medical care, Cost of.,Medical economics.</t>
  </si>
  <si>
    <t>Hofmann, Bernice R.</t>
  </si>
  <si>
    <t>Health Issues in Chinese Contexts</t>
  </si>
  <si>
    <t>RA527 .H43 2009eb</t>
  </si>
  <si>
    <t>Health attitudes--China.,Health attitudes--China--Hong Kong.,Medical care--China.,Medical care--China--Hong Kong.,Public health--China.,Public health--China--Hong Kong.</t>
  </si>
  <si>
    <t>Chan, Zenobia C. Y.</t>
  </si>
  <si>
    <t>Health Issues in Chinese Contexts Series</t>
  </si>
  <si>
    <t>Handbook of Oxytocin Research</t>
  </si>
  <si>
    <t>Synthesis, Storage and Release, Actions and Drug Forms</t>
  </si>
  <si>
    <t>QP572.O9 H36 2009eb</t>
  </si>
  <si>
    <t>Oxytocin--Handbooks, manuals, etc.</t>
  </si>
  <si>
    <t>Feuerbach, Daniela.-Jastrow, Hugo.</t>
  </si>
  <si>
    <t>Endocrinology Research and Clinical Developments Series</t>
  </si>
  <si>
    <t>Handbook of Motor Skills</t>
  </si>
  <si>
    <t>Development, Impairment and Therapy</t>
  </si>
  <si>
    <t>RC376.5 .H348 2009eb</t>
  </si>
  <si>
    <t>Motor ability.,Motor learning.,Movement disorders.,Physical therapy.</t>
  </si>
  <si>
    <t>Pelligrino, Lucian T.</t>
  </si>
  <si>
    <t>Handbook of Prostate Cancer Cell Research</t>
  </si>
  <si>
    <t>Growth, Signalling, and Survival</t>
  </si>
  <si>
    <t>RC280.P7 H36 2009eb</t>
  </si>
  <si>
    <t>Cancer cells--Proliferation--Handbooks, manuals, etc.,Cell transformation.,Prostate--Cancer--Molecular aspects--Handbooks, manuals, etc.</t>
  </si>
  <si>
    <t>Meridith, Alan T.</t>
  </si>
  <si>
    <t>Handbook of Exergy, Hydrogen Energy and Hydropower Research</t>
  </si>
  <si>
    <t>QC73.8.C6 H36 2009eb</t>
  </si>
  <si>
    <t>Energy conservation.,Exergy.,Hydrogen as fuel.,Water-power.</t>
  </si>
  <si>
    <t>Calvet, Arthur-PeÌlissier, Gaston</t>
  </si>
  <si>
    <t>Handbook of Interferometers: Research, Technology and Applications</t>
  </si>
  <si>
    <t>SCIENCE / Physics / Electromagnetism</t>
  </si>
  <si>
    <t>QC411.4 .H36 2009eb</t>
  </si>
  <si>
    <t>Interferometers.</t>
  </si>
  <si>
    <t>Raynor, William-Halsey, David</t>
  </si>
  <si>
    <t>Gold Mining</t>
  </si>
  <si>
    <t>Formation and Resource Estimation, Economics and Environmental Impact</t>
  </si>
  <si>
    <t>TN410 .G65 2009eb</t>
  </si>
  <si>
    <t>Gold mines and mining.,Gold ores.</t>
  </si>
  <si>
    <t>Corral, Melanie D.-Earle, Jared L.</t>
  </si>
  <si>
    <t>Handbook of Granulocytes</t>
  </si>
  <si>
    <t>Classification, Toxic Materials Produced and Pathology</t>
  </si>
  <si>
    <t>QR185.8.G73 H36 2009eb</t>
  </si>
  <si>
    <t>Granulocytes--Handbooks, manuals, etc.</t>
  </si>
  <si>
    <t>Kohlund, Soren.-HaÌˆgg, Reuben.</t>
  </si>
  <si>
    <t>Human Anatomy and Physiology Series</t>
  </si>
  <si>
    <t>Handbook of Cardiovascular Research</t>
  </si>
  <si>
    <t>RC682.9 .H36 2009eb</t>
  </si>
  <si>
    <t>Heart--Pathophysiology.</t>
  </si>
  <si>
    <t>Nanstveit, Viggo.-Brataas, Jorgen.</t>
  </si>
  <si>
    <t>Cardiology Research and Clinical Developments Series</t>
  </si>
  <si>
    <t>Genotoxicity</t>
  </si>
  <si>
    <t>Evaluation, Testing and Prediction</t>
  </si>
  <si>
    <t>RA1224.3 .G465 2009eb</t>
  </si>
  <si>
    <t>Genetic toxicology.</t>
  </si>
  <si>
    <t>Molnar, Hajna.-Kocsis, Andor.</t>
  </si>
  <si>
    <t>Forest Canopies</t>
  </si>
  <si>
    <t>Forest Production, Ecosystem Health and Climate Conditions</t>
  </si>
  <si>
    <t>NATURE / Ecosystems &amp; Habitats / Forests &amp; Rainforests</t>
  </si>
  <si>
    <t>QH541.5.F6 F662 2009eb</t>
  </si>
  <si>
    <t>Forest canopies.,Forest canopy ecology.</t>
  </si>
  <si>
    <t>Roney, Paul J.-Creighton, Jason D.</t>
  </si>
  <si>
    <t>Fruit Juices</t>
  </si>
  <si>
    <t>Properties, Consumption, and Nutrition</t>
  </si>
  <si>
    <t>QP144.F78 F78 2009eb</t>
  </si>
  <si>
    <t>Fruit juices.</t>
  </si>
  <si>
    <t>Scardina, Pauline G.</t>
  </si>
  <si>
    <t>Focus on Climate Change and Health</t>
  </si>
  <si>
    <t>HEALTH &amp; FITNESS / Reference</t>
  </si>
  <si>
    <t>RA793 .V56 2009eb</t>
  </si>
  <si>
    <t>Climatic changes--Health aspects.,Medical climatology.</t>
  </si>
  <si>
    <t>Climate Change and Its Causes, Effects, and Prediction Series</t>
  </si>
  <si>
    <t>Food Processing</t>
  </si>
  <si>
    <t>Methods, Techniques and Trends</t>
  </si>
  <si>
    <t>TP370 .F6255 2009eb</t>
  </si>
  <si>
    <t>Food industry and trade.</t>
  </si>
  <si>
    <t>Bellinghouse, Valerie C.</t>
  </si>
  <si>
    <t>Female Hepatology</t>
  </si>
  <si>
    <t>Favorable Role of Female Factors in Chronic Liver Disease</t>
  </si>
  <si>
    <t>RC846 .S535 2009eb</t>
  </si>
  <si>
    <t>Chronic diseases--Sex factors.,Liver--Diseases--Sex factors.,Women--Diseases.</t>
  </si>
  <si>
    <t>Shimizu, Ichiro</t>
  </si>
  <si>
    <t>Hepatology Research and Clinical Developments Series</t>
  </si>
  <si>
    <t>Exacerbation of Asthma in Children and Exposure to Environmental Tobacco Smoke</t>
  </si>
  <si>
    <t>A Detailed Reivew of the Epidemiological Evidence</t>
  </si>
  <si>
    <t>RJ436.A8 L44 2009eb</t>
  </si>
  <si>
    <t>Asthma in children--Epidemiology.,Asthma in children--Etiology.</t>
  </si>
  <si>
    <t>Lee, Peter N.-Forey, Barbara.</t>
  </si>
  <si>
    <t>Environmental Satellites: Weather and Environmental Information Systems</t>
  </si>
  <si>
    <t>SCIENCE / Space Science</t>
  </si>
  <si>
    <t>TL798.M4 E58 2009eb</t>
  </si>
  <si>
    <t>Meteorological satellites--United States.</t>
  </si>
  <si>
    <t>Webber, Vincent L.</t>
  </si>
  <si>
    <t>Environmental Impact Assessments</t>
  </si>
  <si>
    <t>TD194.6 .E597 2009eb</t>
  </si>
  <si>
    <t>Environmental impact analysis.</t>
  </si>
  <si>
    <t>Fridian, Yeram T.-Halley, George T.</t>
  </si>
  <si>
    <t>Environmental Effects of Off-highway Vehicles</t>
  </si>
  <si>
    <t>TD195.M67 E58 2009eb</t>
  </si>
  <si>
    <t>Motorsports--Economic aspects.,Motorsports--Environmental aspects.,Off-road vehicles--Economic aspects.,Off-road vehicles--Environmental aspects.</t>
  </si>
  <si>
    <t>Ouren, Douglas S.</t>
  </si>
  <si>
    <t>Engaging and Influencing Consumers</t>
  </si>
  <si>
    <t>RA395.A3 C354 2009eb</t>
  </si>
  <si>
    <t>Consumer education--United States.,Health care reform--United States--Citizen participation.,Public health--United States--Citizen participation.</t>
  </si>
  <si>
    <t>Canfield, Terrance M.</t>
  </si>
  <si>
    <t>Energy Research Developments</t>
  </si>
  <si>
    <t>Tidal Energy, Energy Efficiency and Solar Energy</t>
  </si>
  <si>
    <t>TJ808.6 .E54 2009eb</t>
  </si>
  <si>
    <t>Energy conservation.,Ocean wave power.,Renewable energy sources--Research.,Solar energy.</t>
  </si>
  <si>
    <t>Veliotti, Thomas R.-Johnson, Kenneth F.</t>
  </si>
  <si>
    <t>Energy Costs, International Developments and New Directions</t>
  </si>
  <si>
    <t>TJ808 .E584 2009eb</t>
  </si>
  <si>
    <t>Power resources--Costs.,Renewable energy sources--Costs.</t>
  </si>
  <si>
    <t>Piotrowski, Jakub.-Kowalczyk, Leszek.</t>
  </si>
  <si>
    <t>Energy Recovery</t>
  </si>
  <si>
    <t>TP360 .E574 2009eb</t>
  </si>
  <si>
    <t>Waste products as fuel.</t>
  </si>
  <si>
    <t>DuBois, Edgard.-Mercier, Arthur.</t>
  </si>
  <si>
    <t>Energy and Buildings</t>
  </si>
  <si>
    <t>Efficiency, Air Quality and Conservation</t>
  </si>
  <si>
    <t>HOUSE &amp; HOME / Do-It-Yourself / Plumbing</t>
  </si>
  <si>
    <t>TJ163.5.B84 E237 2009eb</t>
  </si>
  <si>
    <t>Buildings--Energy conservation.,Buildings--Environmental engineering.</t>
  </si>
  <si>
    <t>Utrick, Joseph B.</t>
  </si>
  <si>
    <t>Energy Efficiency Solutions</t>
  </si>
  <si>
    <t>TJ163.3 .E54 2009eb</t>
  </si>
  <si>
    <t>Energy conservation--United States.,Energy consumption--United States.,Energy policy--United States.</t>
  </si>
  <si>
    <t>Cateland, Richard P.</t>
  </si>
  <si>
    <t>Emergency Preparedness</t>
  </si>
  <si>
    <t>RA119 .C914 2009eb</t>
  </si>
  <si>
    <t>Hospitals--Emergency management--Federal government--Local government.,Medical care--United States--Emergency preparedness--Surge capacity.</t>
  </si>
  <si>
    <t>Creighton, Paul V.</t>
  </si>
  <si>
    <t>Encyclopedia of Nanotechnology (2 Volume Set)</t>
  </si>
  <si>
    <t>T174.7 .E53 2009eb</t>
  </si>
  <si>
    <t>Nanotechnology.</t>
  </si>
  <si>
    <t>Carlson, Elwood D.</t>
  </si>
  <si>
    <t>Emerging Infectious Diseases in India</t>
  </si>
  <si>
    <t>RA643.I4 V57 2009eb</t>
  </si>
  <si>
    <t>Emerging infectious diseases--India.</t>
  </si>
  <si>
    <t>Viroj Wiwanitkit.-Singh, Mohen Y.</t>
  </si>
  <si>
    <t>Electrospun Nanofibers Research</t>
  </si>
  <si>
    <t>Recent Developments</t>
  </si>
  <si>
    <t>TA418.9.F5 E445 2009eb</t>
  </si>
  <si>
    <t>Electrospinning--Research.,Nanofibers--Design and construction.</t>
  </si>
  <si>
    <t>Haghi, A. K.</t>
  </si>
  <si>
    <t>Electric Vehicles</t>
  </si>
  <si>
    <t>Technology, Research and Development</t>
  </si>
  <si>
    <t>TRANSPORTATION / Automotive / Antique &amp; Classic</t>
  </si>
  <si>
    <t>TL220 .E4545 2009eb</t>
  </si>
  <si>
    <t>Electric vehicles.</t>
  </si>
  <si>
    <t>Raines, Gerald B.</t>
  </si>
  <si>
    <t>Electric Field Enhanced Membrane Separation System</t>
  </si>
  <si>
    <t>Principles and Typical Applications</t>
  </si>
  <si>
    <t>TP248.25.M46 D4 2009eb</t>
  </si>
  <si>
    <t>Electric fields.,Membrane separation.</t>
  </si>
  <si>
    <t>De, Sirshendu.-Sarkar, Biswajit.-DasGupta, Sunando.</t>
  </si>
  <si>
    <t>Electron-phonon Interactions in Novel Nanoelectronics</t>
  </si>
  <si>
    <t>QC794.8.E4 K375 2009eb</t>
  </si>
  <si>
    <t>Electron-phonon interactions.,Nanoelectronics.</t>
  </si>
  <si>
    <t>Kato, Takashi.</t>
  </si>
  <si>
    <t>Efficient Algorithms of Time Series Processing and Their Applications</t>
  </si>
  <si>
    <t>QA280 .E33 2009eb</t>
  </si>
  <si>
    <t>Algorithms.,Time-series analysis.</t>
  </si>
  <si>
    <t>Tï¸ Sï¸¡itï¸ sï¸¡iashvili, G. Sh.</t>
  </si>
  <si>
    <t>Drugs During Pregnancy</t>
  </si>
  <si>
    <t>MEDICAL / Perinatology &amp; Neonatology</t>
  </si>
  <si>
    <t>RG627.6.D79 K35 2009eb</t>
  </si>
  <si>
    <t>Fetus--Effect of drugs on.,Pregnant women--Drug use.</t>
  </si>
  <si>
    <t>KaÌˆlleÌn, Bengt.</t>
  </si>
  <si>
    <t>Pregnancy and Infants: Medical, Psychological and Social Issues Series</t>
  </si>
  <si>
    <t>Earthworms for Monitoring Metal Contamination</t>
  </si>
  <si>
    <t>QL391.A6 P53 2009eb</t>
  </si>
  <si>
    <t>Earthworms--Effect of heavy metals on.,Heavy metals--Environmental aspects.,Soils--Heavy metal content.</t>
  </si>
  <si>
    <t>PÅ‚ytycz, Barbara.</t>
  </si>
  <si>
    <t>Earthquakes</t>
  </si>
  <si>
    <t>Risk, Monitoring and Research</t>
  </si>
  <si>
    <t>QE539.2.S34 E43 2009eb</t>
  </si>
  <si>
    <t>Earthquake hazard analysis.,Earthquake prediction.,Earthquake resistant design.,Earthquakes--Safety measures.</t>
  </si>
  <si>
    <t>Leary, Earl V.</t>
  </si>
  <si>
    <t>Doctoring Medical Governance</t>
  </si>
  <si>
    <t>Medical Self-regulation in Transition</t>
  </si>
  <si>
    <t>R690 .C4145 2009eb</t>
  </si>
  <si>
    <t>Medicine--Great Britain.,Physicians--Great Britain.,Professional socialization.</t>
  </si>
  <si>
    <t>Chamberlain, John M.</t>
  </si>
  <si>
    <t>Distributed Multi-Generation Systems: Energy Models and Analyses</t>
  </si>
  <si>
    <t>TK1006 .M36 2009eb</t>
  </si>
  <si>
    <t>Distributed generation of electric power.,Electric network analysis.,Energy facilities--Mathematical models.</t>
  </si>
  <si>
    <t>Mancarella, Pierluigi.-Chicco, Gianfranco.</t>
  </si>
  <si>
    <t>Dielectric Materials: Introduction, Research and Applications</t>
  </si>
  <si>
    <t>QC585 .C53 2009 ebook</t>
  </si>
  <si>
    <t>Dielectrics.</t>
  </si>
  <si>
    <t>Choudhary, Ram Naresh Prasad-Patri, Sunanda Kumari</t>
  </si>
  <si>
    <t>Diagnosis and Imaging of Chronic Pancreatitis</t>
  </si>
  <si>
    <t>RC858.P35 D53 2009eb</t>
  </si>
  <si>
    <t>Pancreas--Cancer--Diagnosis.,Pancreatitis--Diagnosis.,Pancreatitis--Imaging.</t>
  </si>
  <si>
    <t>Coenegrachts, Kenneth.</t>
  </si>
  <si>
    <t>Diagnostic Modalities in Crohn's Disease</t>
  </si>
  <si>
    <t>RC862.E52 G57 2009eb</t>
  </si>
  <si>
    <t>Crohn's disease--Diagnosis.</t>
  </si>
  <si>
    <t>Crespi, Luca G.</t>
  </si>
  <si>
    <t>Depression in Children</t>
  </si>
  <si>
    <t>RJ506.D4 D45 2009eb</t>
  </si>
  <si>
    <t>Depression in adolescence.,Depression in children.</t>
  </si>
  <si>
    <t>Naylor, Bernice T.</t>
  </si>
  <si>
    <t>Depression- Causes, Diagnosis, and Treatment Series</t>
  </si>
  <si>
    <t>Deployment of Advanced Energy Technologies</t>
  </si>
  <si>
    <t>TJ163.25.U6 W56 2009eb</t>
  </si>
  <si>
    <t>Energy development--United States.,Energy policy--United States.,Power resources--United States.</t>
  </si>
  <si>
    <t>Williamson, Zachary</t>
  </si>
  <si>
    <t>Dental Materials Research</t>
  </si>
  <si>
    <t>RK652.5 .D465 2009eb</t>
  </si>
  <si>
    <t>Dental materials.</t>
  </si>
  <si>
    <t>DuPois, Easton A.-Kaminski, Haden D.</t>
  </si>
  <si>
    <t>Dental Science, Materials and Technology Series</t>
  </si>
  <si>
    <t>Dendritic Spines</t>
  </si>
  <si>
    <t>Biochemistry, Modeling and Properties</t>
  </si>
  <si>
    <t>QP364 .D46 2009eb</t>
  </si>
  <si>
    <t>Dendrites.,Synapses.</t>
  </si>
  <si>
    <t>Baylog, Louis R.</t>
  </si>
  <si>
    <t>Degradable Polymers for Skeletal Implants</t>
  </si>
  <si>
    <t>MEDICAL / Instruments &amp; Supplies</t>
  </si>
  <si>
    <t>R857.P6 W85 2009eb</t>
  </si>
  <si>
    <t>Orthopedic implants.,Polyesters--Biocompatibility.,Polymers in medicine.</t>
  </si>
  <si>
    <t>Smit, Theo M.-Wuisman, Paul I. J. M.</t>
  </si>
  <si>
    <t>Intermittent Hypoxia</t>
  </si>
  <si>
    <t>From Molecular Mechanisms to Clinical Applications</t>
  </si>
  <si>
    <t>RB150.A67 I58 2009eb</t>
  </si>
  <si>
    <t>Altitude, Influence of.,Anoxemia.</t>
  </si>
  <si>
    <t>Serebrovskaya, Tatiana V.-Xi, Lei.</t>
  </si>
  <si>
    <t>Physiology--laboratory and Clinical Research Series</t>
  </si>
  <si>
    <t>Cross Infections</t>
  </si>
  <si>
    <t>Types, Causes and Prevention</t>
  </si>
  <si>
    <t>RA969 .C762 2009eb</t>
  </si>
  <si>
    <t>Liang, Xun.-Dong, Jin.</t>
  </si>
  <si>
    <t>Current Advances in Sleep Biology</t>
  </si>
  <si>
    <t>QP425 .C87 2009eb</t>
  </si>
  <si>
    <t>Sleep.</t>
  </si>
  <si>
    <t>Frank, Marcos G.</t>
  </si>
  <si>
    <t>Cybersecurity, Cyberanalysis, and Warning</t>
  </si>
  <si>
    <t>TK5105.59 .U493 2009eb</t>
  </si>
  <si>
    <t>Automatic data collection systems.,Computer crimes--United States--Prevention.,Computer networks--Security measures--United States.,Cyberterrorism--United States--Prevention.,Electronic government information--Access control--United States.,Electronic government information--Protection--Government policy--United States.</t>
  </si>
  <si>
    <t>Catwell, Sandra P.-Norwood, Kerry T.</t>
  </si>
  <si>
    <t>Cruise Ship Pollution</t>
  </si>
  <si>
    <t>TD428.S55 C78 2009eb</t>
  </si>
  <si>
    <t>Cruise ships--Waste disposal--United States.</t>
  </si>
  <si>
    <t>Krenshaw, Oliver G.</t>
  </si>
  <si>
    <t>Coronary Artery Bypasses</t>
  </si>
  <si>
    <t>RD598.35.C67 C687 2009eb</t>
  </si>
  <si>
    <t>Coronary artery bypass.</t>
  </si>
  <si>
    <t>Alton, James B.-Hammond, Russell T.</t>
  </si>
  <si>
    <t>Consumer Product Safety Issues</t>
  </si>
  <si>
    <t>TS175 .C67 2009eb</t>
  </si>
  <si>
    <t>Consumer protection.,Consumer protection--Law and legislation.,Product safety.,Product safety--Law and legislation.</t>
  </si>
  <si>
    <t>PinteÌr, MaÌteÌ D.-Varga, PeÌter A.</t>
  </si>
  <si>
    <t>Safety and Risk in Society Series</t>
  </si>
  <si>
    <t>Computational Materials</t>
  </si>
  <si>
    <t>TA403.6 .C6375 2009eb</t>
  </si>
  <si>
    <t>Materials science--Computer simulation.,Materials science--Mathematical models.</t>
  </si>
  <si>
    <t>Oster, Wilhelm U.</t>
  </si>
  <si>
    <t>Commutative Rings</t>
  </si>
  <si>
    <t>QA251.3 .C675 2009eb</t>
  </si>
  <si>
    <t>Commutative rings.</t>
  </si>
  <si>
    <t>Lee, John</t>
  </si>
  <si>
    <t>Comparative Effectiveness of Medical Treatments</t>
  </si>
  <si>
    <t>RM301 .C585 2009eb</t>
  </si>
  <si>
    <t>Drugs--Effectiveness.,Therapeutics.,Therapeutics--Costs.</t>
  </si>
  <si>
    <t>Brun, Sophia.-Villa, Peter.</t>
  </si>
  <si>
    <t>Clock Synchronization and Navigation in the Vicinity of the Earth</t>
  </si>
  <si>
    <t>QC173.59.S65 B33 2009eb</t>
  </si>
  <si>
    <t>Astronomical clocks.,Navigation (Astronautics),Space and time.,Synchronization.</t>
  </si>
  <si>
    <t>Bahder, Thomas B.</t>
  </si>
  <si>
    <t>Children and Pain</t>
  </si>
  <si>
    <t>RJ365 .C45 2009eb</t>
  </si>
  <si>
    <t>Pain in children--Treatment.,Pain--Measurement.,Sickle cell anemia--Treatment.</t>
  </si>
  <si>
    <t>Merrick, Joav-Schofield, Pat</t>
  </si>
  <si>
    <t>Cellular Senescence: Implications for Cancer Therapy</t>
  </si>
  <si>
    <t>QH608 .M57 2009eb</t>
  </si>
  <si>
    <t>Cancer--Treatment.,Cells--Aging.</t>
  </si>
  <si>
    <t>Mirzayans, Razmik.-Murray, David</t>
  </si>
  <si>
    <t>Chemistry and Biochemistry</t>
  </si>
  <si>
    <t>From Pure to Applied Science: a Festschrift in Honor of the 75th Brithday of Professor Gennady E. Zaikov</t>
  </si>
  <si>
    <t>TA418.9.C6 C44 2009eb</t>
  </si>
  <si>
    <t>Nanostructured materials--Plastic properties.,Nanotubes.,Polymeric composites--Industrial applications.</t>
  </si>
  <si>
    <t>Pearce, Eli M.-Zaikov, GennadiiÌ† Efremovich.</t>
  </si>
  <si>
    <t>New Horizons</t>
  </si>
  <si>
    <t>Chemical Safety Board</t>
  </si>
  <si>
    <t>TP155.5 .C44 2009eb</t>
  </si>
  <si>
    <t>Chemical engineering--Safety measures.,Chemical plants--Accidents.,Chemical plants--Safety measures.</t>
  </si>
  <si>
    <t>Talford, Robert W.</t>
  </si>
  <si>
    <t>Cerebral Ischemia in Young Adults: Pathogenic and Clinical Perspectives</t>
  </si>
  <si>
    <t>RC388.5 .C39735 2009eb</t>
  </si>
  <si>
    <t>Cerebral ischemia.,Young adults--Diseases.</t>
  </si>
  <si>
    <t>Padovani, Alessandro-Pezzini, Alessandro.</t>
  </si>
  <si>
    <t>Child and Adolescent Health Yearbook</t>
  </si>
  <si>
    <t>RJ101 .C45 2009eb</t>
  </si>
  <si>
    <t>Children--Diseases.,Children--Health and hygiene.,Teenagers--Diseases.,Teenagers--Health and hygiene.</t>
  </si>
  <si>
    <t>Merrick, Joav.</t>
  </si>
  <si>
    <t>Cell Determination During Hematopoiesis</t>
  </si>
  <si>
    <t>QP92 .C45 2009eb</t>
  </si>
  <si>
    <t>Cell differentiation.,Hematopoiesis--Regulation.</t>
  </si>
  <si>
    <t>Brown, Geoffrey-Ceredig, Rhodri.</t>
  </si>
  <si>
    <t>Cell Biology Research Progress Series</t>
  </si>
  <si>
    <t>Biochemical Physics Research Trends</t>
  </si>
  <si>
    <t>QP517.P49 B562 2009eb</t>
  </si>
  <si>
    <t>Physical biochemistry.</t>
  </si>
  <si>
    <t>Varfolomeev, SergeiÌ† Dmitrievich.</t>
  </si>
  <si>
    <t>Bioceramics</t>
  </si>
  <si>
    <t>R857.C4 B573 2009eb</t>
  </si>
  <si>
    <t>Ceramics in medicine.</t>
  </si>
  <si>
    <t>Fuchs, Jacob-Kossler, Wolffe.</t>
  </si>
  <si>
    <t>Building Materials: Properties, Performance and Applications</t>
  </si>
  <si>
    <t>TA403.8 .B85 2009eb</t>
  </si>
  <si>
    <t>Building materials.</t>
  </si>
  <si>
    <t>Cornejo, Donald N.-Haro, Jason L.</t>
  </si>
  <si>
    <t>Buildings and the Environment</t>
  </si>
  <si>
    <t>TH6028 .B85 2009eb</t>
  </si>
  <si>
    <t>Buildings--Energy conservation.,Buildings--Environmental aspects.,Buildings--Environmental engineering.,Indoor air pollution--Prevention.</t>
  </si>
  <si>
    <t>Schulz, Patrik.-Nemecek, Jonas.</t>
  </si>
  <si>
    <t>Cardiac Wellness</t>
  </si>
  <si>
    <t>How to Sustain the Lifestyle Changes You Need for a Healthy Heart</t>
  </si>
  <si>
    <t>RC682 .D43 2009eb</t>
  </si>
  <si>
    <t>Heart--Diseases--Patients--Rehabilitation--Popular works.</t>
  </si>
  <si>
    <t>Decker, Lawrence A.</t>
  </si>
  <si>
    <t>Biochemical Engineering</t>
  </si>
  <si>
    <t>TP248.3 .B5588 2009eb</t>
  </si>
  <si>
    <t>Biochemical engineering.</t>
  </si>
  <si>
    <t>Sacco, Jack A.-Dumont, Fabian E.</t>
  </si>
  <si>
    <t>Binomium Chitin-chitinase</t>
  </si>
  <si>
    <t>Recent Issues</t>
  </si>
  <si>
    <t>SOCIAL SCIENCE / Anthropology / Physical</t>
  </si>
  <si>
    <t>QP702.C5 B56 2009eb</t>
  </si>
  <si>
    <t>Chitin.,Chitinase.</t>
  </si>
  <si>
    <t>Musumeci, Salvatore.-Paoletti, M. G.</t>
  </si>
  <si>
    <t>Appetite and Nutritional Assessment</t>
  </si>
  <si>
    <t>QP136 .A675 2009eb</t>
  </si>
  <si>
    <t>Appetite.,Nutrition--Evaluation.</t>
  </si>
  <si>
    <t>Schuster, Reece C.-Ellsworth, Shane J.</t>
  </si>
  <si>
    <t>Nutrition and Diet Research Progress</t>
  </si>
  <si>
    <t>Beta Carotene</t>
  </si>
  <si>
    <t>Dietary Sources, Cancer and Cognition</t>
  </si>
  <si>
    <t>QP671.C3 B48 2009eb</t>
  </si>
  <si>
    <t>Beta carotene.,Vitamin A in human nutrition.</t>
  </si>
  <si>
    <t>Bjornson, Terje.-Haugen, Leiv.</t>
  </si>
  <si>
    <t>Binge Eating: Psychological Factors, Symptoms and Treatment</t>
  </si>
  <si>
    <t>PSYCHOLOGY / Psychopathology / Eating Disorders</t>
  </si>
  <si>
    <t>RC552.C65 B565 2009eb</t>
  </si>
  <si>
    <t>Compulsive eating.</t>
  </si>
  <si>
    <t>Chambers, Natalie.</t>
  </si>
  <si>
    <t>Alcoholic Beverage Consumption and Health</t>
  </si>
  <si>
    <t>SELF-HELP / Substance Abuse &amp; Addictions / Alcohol</t>
  </si>
  <si>
    <t>QP801.A3 A434 2009eb</t>
  </si>
  <si>
    <t>Alcohol--Physiological effect.</t>
  </si>
  <si>
    <t>D'Arco, Agostina.-Mazzei, Adam.</t>
  </si>
  <si>
    <t>Antimalarial Drugs</t>
  </si>
  <si>
    <t>Costs, Safety and Efficacy</t>
  </si>
  <si>
    <t>RC159.A5 A585 2009eb</t>
  </si>
  <si>
    <t>Antimalarials.,Antimalarials--Chemotherapy.</t>
  </si>
  <si>
    <t>Kalnoky, Istvan.-Csizmadia, Emanuel.</t>
  </si>
  <si>
    <t>Tropical Diseases - Etiology, Pathogenesis and Treatments Series</t>
  </si>
  <si>
    <t>Antimicrobial Activity of Lactoferrin and Lactoferrin Derived Peptides</t>
  </si>
  <si>
    <t>QP552.L345 J46 2009eb</t>
  </si>
  <si>
    <t>Anti-infective agents.,Lactoferrin--Derivatives--Physiological effect.,Lactoferrin--Physiological effect.</t>
  </si>
  <si>
    <t>Jenssen, Havard.</t>
  </si>
  <si>
    <t>Agricultural Wastes</t>
  </si>
  <si>
    <t>TD930 .A3925 2009eb</t>
  </si>
  <si>
    <t>Agricultural wastes--Recycling.</t>
  </si>
  <si>
    <t>Azevedo, Pablo.-Ashworth, Geoffrey S.</t>
  </si>
  <si>
    <t>Adaptive Mechanisms in Migraine</t>
  </si>
  <si>
    <t>RC392 .A33 2009eb</t>
  </si>
  <si>
    <t>Migraine.</t>
  </si>
  <si>
    <t>Gupta, Vinod Kumar</t>
  </si>
  <si>
    <t>Advances in Geosciences and the Built Environment</t>
  </si>
  <si>
    <t>ARCHITECTURE / Historic Preservation / Restoration Techniques</t>
  </si>
  <si>
    <t>QE26.3 .A39 2009eb</t>
  </si>
  <si>
    <t>Architecture--Environmental aspects.,Building.,Earth sciences.</t>
  </si>
  <si>
    <t>New Cell Adhesion Research</t>
  </si>
  <si>
    <t>MEDICAL / Histology</t>
  </si>
  <si>
    <t>QH623 .N49 2009eb</t>
  </si>
  <si>
    <t>Cell adhesion molecules.,Cell adhesion.</t>
  </si>
  <si>
    <t>Temple, Matthew.-Nott, Patrick.</t>
  </si>
  <si>
    <t>Women and Aging</t>
  </si>
  <si>
    <t>MEDICAL / Geriatrics</t>
  </si>
  <si>
    <t>RA564.85 .W625 2008eb</t>
  </si>
  <si>
    <t>Older women--Health and hygiene.,Older women--Medical care.</t>
  </si>
  <si>
    <t>Benninghouse, Harriet T.-Rosset, Andria G.</t>
  </si>
  <si>
    <t>Rock Mechanics</t>
  </si>
  <si>
    <t>TECHNOLOGY &amp; ENGINEERING / Civil / Soil &amp; Rock</t>
  </si>
  <si>
    <t>TA706 .R63 2009eb</t>
  </si>
  <si>
    <t>Hydraulic fracturing.,Rock mechanics.,Rocks--Fracture.,Rocks--Testing.</t>
  </si>
  <si>
    <t>Abbie, M.-Bedford, J. S.</t>
  </si>
  <si>
    <t>Microbial Conversions of Raw Glycerol</t>
  </si>
  <si>
    <t>TP973 .M48 2009eb</t>
  </si>
  <si>
    <t>Glycerin--Biotechnology.,Industrial microbiology.,Microbial biotechnology.</t>
  </si>
  <si>
    <t>Aggelis, George.</t>
  </si>
  <si>
    <t>Statins: Indications and Uses, Safety and Modes of Action</t>
  </si>
  <si>
    <t>RM666.S714 S728 2009eb</t>
  </si>
  <si>
    <t>Statins (Cardiovascular agents)</t>
  </si>
  <si>
    <t>Holmqvist, Gunnar N.</t>
  </si>
  <si>
    <t>Food Chemistry Research Developments</t>
  </si>
  <si>
    <t>TX541 .F65375 2008eb</t>
  </si>
  <si>
    <t>Food--Analysis.,Food--Composition.</t>
  </si>
  <si>
    <t>Papadopoulos, Konstantinos N.</t>
  </si>
  <si>
    <t>Historical Dictionary of the Dirty Wars</t>
  </si>
  <si>
    <t>F2849.2 .K64 2010eb</t>
  </si>
  <si>
    <t>Political violence--Chile--History--20th century--Dictionaries.,Political violence--Uruguay--History--20th century--Dictionaries.</t>
  </si>
  <si>
    <t>Kohut, David R.-Vilella, Olga</t>
  </si>
  <si>
    <t>Historical Dictionaries of War, Revolution, and Civil Unrest</t>
  </si>
  <si>
    <t>Historical Dictionary of the Democratic Republic of the Congo</t>
  </si>
  <si>
    <t>HISTORY / Africa / Central</t>
  </si>
  <si>
    <t>DT650.17 .B63 2010eb</t>
  </si>
  <si>
    <t>History--Dictionaries.</t>
  </si>
  <si>
    <t>Kisangani, Emizet F.-Bobb, F. Scott</t>
  </si>
  <si>
    <t>Praxis II Mathematics 0061</t>
  </si>
  <si>
    <t>XAM Online</t>
  </si>
  <si>
    <t>XAM Online, Inc.</t>
  </si>
  <si>
    <t>MATHEMATICS / History &amp; Philosophy</t>
  </si>
  <si>
    <t>QA43 .W96 2010eb</t>
  </si>
  <si>
    <t>Careers.,Mathematics teachers--Certification--United States.,Mathematics teachers--United States--Examinations--Study guides.,Mathematics--Examinations, questions, etc.,National teacher examinations--Study guides.</t>
  </si>
  <si>
    <t>Wynne, Sharon A.</t>
  </si>
  <si>
    <t>Praxis II Middle School Mathematics</t>
  </si>
  <si>
    <t>Mathematics--Examinations--Study guides.,National teacher examinations--United States--Study guides.,Teaching--United States--Examinations--Study guides.</t>
  </si>
  <si>
    <t>Getting Over Stage Fright</t>
  </si>
  <si>
    <t>A New Approach to Resolving Your Fear of Public Speaking and Performing</t>
  </si>
  <si>
    <t>SELF-HELP / Anxieties &amp; Phobias</t>
  </si>
  <si>
    <t>RC552.S69 E87 2009eb</t>
  </si>
  <si>
    <t>Speech anxiety.,Stage fright.</t>
  </si>
  <si>
    <t>Esposito, Janet E.</t>
  </si>
  <si>
    <t>Hochverehrter Herr BundesprÃ¤sident!</t>
  </si>
  <si>
    <t>Der Briefwechsel mit der BevÃ¶lkerung 1949 - 1959</t>
  </si>
  <si>
    <t>DD259.7.H4 A4 2010eb</t>
  </si>
  <si>
    <t>Heuss, Theodor-Werner, Wolfram.-Stiftung BundespraÌˆsident-Theodor-Heuss-Haus.</t>
  </si>
  <si>
    <t>Stuttgarter Ausgabe</t>
  </si>
  <si>
    <t>Networking for People Who Hate Networking</t>
  </si>
  <si>
    <t>A Field Guide for Introverts, the Overwhelmed, and the Underconnected</t>
  </si>
  <si>
    <t>Berrett-Koehler Publishers, Inc.</t>
  </si>
  <si>
    <t>Berrett-Koehler Publishers</t>
  </si>
  <si>
    <t>BUSINESS &amp; ECONOMICS / Skills</t>
  </si>
  <si>
    <t>HD69.S8 .Z34 2010eb</t>
  </si>
  <si>
    <t>Business networks.</t>
  </si>
  <si>
    <t>Zack, Devora.</t>
  </si>
  <si>
    <t>50 Reasons to Buy Fair Trade</t>
  </si>
  <si>
    <t>BUSINESS &amp; ECONOMICS / International / General</t>
  </si>
  <si>
    <t>HF1713 .L57 2007eb</t>
  </si>
  <si>
    <t>Consumption (Economics),Free trade.,International trade.,Price maintenance--Developing countries.,Restraint of trade.</t>
  </si>
  <si>
    <t>Litvinoff, Miles.-Madeley, John.</t>
  </si>
  <si>
    <t>Ether Space-time &amp; Cosmology</t>
  </si>
  <si>
    <t>SCIENCE / Physics / Relativity</t>
  </si>
  <si>
    <t>QC177 .E75eb vol. 3</t>
  </si>
  <si>
    <t>Cosmology.,Ether (Space),Relativity (Physics),Space and time.</t>
  </si>
  <si>
    <t>LeÌvy, Joseph-Duffy, Michael Ciaran.</t>
  </si>
  <si>
    <t>The Experimental and Historical Foundations of Electricity</t>
  </si>
  <si>
    <t>QC533 .A87 2010eb</t>
  </si>
  <si>
    <t>Electricity--Experiments.,Electricity--History.</t>
  </si>
  <si>
    <t>QA839 .A87 2008eb</t>
  </si>
  <si>
    <t>The Static Universe</t>
  </si>
  <si>
    <t>Exploding the Myth of Cosmic Expansion</t>
  </si>
  <si>
    <t>SCIENCE / Cosmology</t>
  </si>
  <si>
    <t>QB982 .R38 2010eb</t>
  </si>
  <si>
    <t>Cosmology.</t>
  </si>
  <si>
    <t>Ratcliffe, Hilton.</t>
  </si>
  <si>
    <t>Who Wrote the Book of Love?</t>
  </si>
  <si>
    <t>PS3569.I377 W48 2005eb</t>
  </si>
  <si>
    <t>Boys--Fiction.,Teenage boys--Fiction.</t>
  </si>
  <si>
    <t>Siegel, Lee</t>
  </si>
  <si>
    <t>Aspects of the Performative in Medieval Culture</t>
  </si>
  <si>
    <t>LITERARY CRITICISM / Medieval</t>
  </si>
  <si>
    <t>PN88 .A77 2010eb</t>
  </si>
  <si>
    <t>Authorship--History--To 1500.,Civilization, Medieval.,Literature, Medieval--History and criticism--Theory, etc.,Philosophy, Medieval.</t>
  </si>
  <si>
    <t>Suerbaum, Almut.-Gragnolati, Manuele.</t>
  </si>
  <si>
    <t>Trends in Medieval Philology</t>
  </si>
  <si>
    <t>Goethe and the Ginkgo</t>
  </si>
  <si>
    <t>A Tree and a Poem</t>
  </si>
  <si>
    <t>PT1899.G64 U6713 2003eb</t>
  </si>
  <si>
    <t>Unseld, Siegfried.-Goethe, Johann Wolfgang von</t>
  </si>
  <si>
    <t>Narration</t>
  </si>
  <si>
    <t>Four Lectures</t>
  </si>
  <si>
    <t>PN187 .S73 2010eb</t>
  </si>
  <si>
    <t>Narration (Rhetoric)</t>
  </si>
  <si>
    <t>Stein, Gertrude-Wilder, Thornton</t>
  </si>
  <si>
    <t>Clinical Topics in Cultural Psychiatry</t>
  </si>
  <si>
    <t>RC455.4.E8 C55 2010eb</t>
  </si>
  <si>
    <t>Cultural psychiatry.</t>
  </si>
  <si>
    <t>Bhugra, Dinesh.-Cross, Sean.-Bhattacharya, Rahul.</t>
  </si>
  <si>
    <t>Careers in Anesthesiology</t>
  </si>
  <si>
    <t>Anesthesiologist Medical Doctor, Anesthesiologist Assistant</t>
  </si>
  <si>
    <t>Institute for Career Research</t>
  </si>
  <si>
    <t>RD82 .C37 2010eb</t>
  </si>
  <si>
    <t>Allied health personnel--Vocational guidance.,Anesthesiologist assistants--Vocational guidance.,Anesthesiologists--Vocational guidance.,Anesthesiology--Vocational guidance.</t>
  </si>
  <si>
    <t>Institute for Career Research.</t>
  </si>
  <si>
    <t>Institute Research</t>
  </si>
  <si>
    <t>Sprache intermedial</t>
  </si>
  <si>
    <t>Stimme und Schrift, Bild und Ton</t>
  </si>
  <si>
    <t>LANGUAGE ARTS &amp; DISCIPLINES / Communication Studies</t>
  </si>
  <si>
    <t>P99 .S78 2010eb</t>
  </si>
  <si>
    <t>Communication.,Intermediality.,Semiotics.</t>
  </si>
  <si>
    <t>Linke, Angelika-Deppermann, Arnulf.</t>
  </si>
  <si>
    <t>Jahrbuch / Institut fuÌˆr Deutsche Sprache</t>
  </si>
  <si>
    <t>Real Zombies, the Living Dead, and Creatures of the Apocalypse</t>
  </si>
  <si>
    <t>BF1556 .S735 2010eb</t>
  </si>
  <si>
    <t>Zombies.</t>
  </si>
  <si>
    <t>The Handy Philosophy Answer Book</t>
  </si>
  <si>
    <t>B72 .Z33 2010eb</t>
  </si>
  <si>
    <t>Zack, Naomi</t>
  </si>
  <si>
    <t>The Handy ... Answer Book</t>
  </si>
  <si>
    <t>The Handy Law Answer Book</t>
  </si>
  <si>
    <t>LAW / Practical Guides</t>
  </si>
  <si>
    <t>KF386 .H82 2010eb</t>
  </si>
  <si>
    <t>Law--United States--Outlines, syllabi, etc.</t>
  </si>
  <si>
    <t>Hudson, David L.</t>
  </si>
  <si>
    <t>Handy Series</t>
  </si>
  <si>
    <t>Hidden Realms, Lost Civilizations, and Beings From Other Worlds</t>
  </si>
  <si>
    <t>BODY, MIND &amp; SPIRIT / Unexplained Phenomena</t>
  </si>
  <si>
    <t>GN751 .C6 2010eb</t>
  </si>
  <si>
    <t>Extraterrestrial beings.,Geographical myths.,Lost continents.</t>
  </si>
  <si>
    <t>Clark, Jerome.</t>
  </si>
  <si>
    <t>Estimular el crecimiento de la economiÌa</t>
  </si>
  <si>
    <t>el papel de la investigacioÌn puÌblico-privada en el desarrollo</t>
  </si>
  <si>
    <t>Q180.55 .E88 2009eb</t>
  </si>
  <si>
    <t>Public-private sector cooperation--Developing countries.,Research--Developing countries--Finance.</t>
  </si>
  <si>
    <t>Woo, Jean.-Graham, Michael.-International Development Research Centre (Canada)</t>
  </si>
  <si>
    <t>Why War?</t>
  </si>
  <si>
    <t>The Cultural Logic of Iraq, the Gulf War, and Suez</t>
  </si>
  <si>
    <t>HM554 .S64 2005eb</t>
  </si>
  <si>
    <t>Culture conflict.,Iraq War, 2003-2011--Social aspects.,Persian Gulf War, 1991--Social aspects.,Politics and culture.,War (Philosophy),War and society.</t>
  </si>
  <si>
    <t>Smith, Philip</t>
  </si>
  <si>
    <t>ACT Math Prep Course</t>
  </si>
  <si>
    <t>Nova Press</t>
  </si>
  <si>
    <t>QA43 .K65 2010eb</t>
  </si>
  <si>
    <t>ACT Assessment--Study guides.,Mathematics--Examinations, questions, etc.,Mathematics--Examinations--Study guides.,Universities and colleges--United States--Graduate work--Examinations, questions, etc.</t>
  </si>
  <si>
    <t>Kolby, Jeff.-Vaughn, Derrick.-Nova Press.</t>
  </si>
  <si>
    <t>Design of Electrical Machines</t>
  </si>
  <si>
    <t>New Age International</t>
  </si>
  <si>
    <t>TK2331 .U63 2008eb</t>
  </si>
  <si>
    <t>Electric machinery--Design and construction.</t>
  </si>
  <si>
    <t>Upadhyay, K. G.</t>
  </si>
  <si>
    <t>Studies on the Abuse and Decline of Reason</t>
  </si>
  <si>
    <t>Text and Documents</t>
  </si>
  <si>
    <t>HB171 .H426 1989eb vol. 13</t>
  </si>
  <si>
    <t>Saint-Simonianism.,Social sciences--Methodology.</t>
  </si>
  <si>
    <t>Hayek, Friedrich A. von</t>
  </si>
  <si>
    <t>Collected Works of F. A. Hayek</t>
  </si>
  <si>
    <t>Die Rabbiner der Emanzipationszeit in den deutschen, bÃ¶hmischen und groÃŸpolnischen LÃ¤ndern 1781-1871</t>
  </si>
  <si>
    <t>BM750 .B525eb vol.1</t>
  </si>
  <si>
    <t>Hasidim--Czech Republic--Biography--Dictionaries.,Hasidim--Germany--Biography--Dictionaries.,Hasidim--Poland--Biography--Dictionaries.,Rabbis--Czech Republic--Biography--Dictionaries.,Rabbis--Germany--Biography--Dictionaries.,Rabbis--Poland--Biography--Dictionaries.</t>
  </si>
  <si>
    <t>Wilke, Carsten-Carlebach, Julius.-Brocke, Michael</t>
  </si>
  <si>
    <t>Theodor Heuss, Aufbruch im Kaiserreich</t>
  </si>
  <si>
    <t>DD259.7.H4 A4 2009eb</t>
  </si>
  <si>
    <t>Heuss, Theodor-GuÌˆnther, Frieder.-Stiftung BundespraÌˆsident-Theodor-Heuss-Haus.</t>
  </si>
  <si>
    <t>Works</t>
  </si>
  <si>
    <t>Z147 .I43 2009eb</t>
  </si>
  <si>
    <t>Printing--Germany--History.,Publishers and publishing--Germany--History.</t>
  </si>
  <si>
    <t>Rautenberg, Ursula.-Estermann, Monika.</t>
  </si>
  <si>
    <t>Archiv fuÌˆr Geschichte des Buchwesens</t>
  </si>
  <si>
    <t>Physics Teacher Certification Exam</t>
  </si>
  <si>
    <t>EDUCATION / Finance</t>
  </si>
  <si>
    <t>QC32 .W96 2009eb</t>
  </si>
  <si>
    <t>National teacher examinations--United States--Study guides.,Physics teachers--Certification--United States--Examinations--Study guides.,Physics teachers--United States--Examinations--Study guides.,Physics--Examinations, questions, etc.,Physics--United States--Examinations--Study guides.</t>
  </si>
  <si>
    <t>Praxis Series. Praxis 2009</t>
  </si>
  <si>
    <t>Earth and Space Sciences Teacher Certification Exam</t>
  </si>
  <si>
    <t>QE42 .W96 2009eb</t>
  </si>
  <si>
    <t>Earth sciences--Examinations, questions, etc.,Earth sciences--Study and teaching--United States.,National teacher examinations--Study guides.,Science teachers--Certification--United States--Examinations--Study guides.,Science teachers--United States--Examinations--Study guides.,Space sciences--Examinations, questions, etc.,Space sciences--Study and teaching--United States.,Teaching--United States--Examinations--Study guides.</t>
  </si>
  <si>
    <t>Chemistry Teacher Certification Exam</t>
  </si>
  <si>
    <t>QD42 .W96 2009eb</t>
  </si>
  <si>
    <t>Chemistry teachers--Certification--United States--Examinations--Study guides.,Chemistry teachers--United States--Examinations--Study guides.,Chemistry--Examinations, questions, etc.,Chemistry--United States--Examinations--Study guides.,National teacher examinations--Study guides.</t>
  </si>
  <si>
    <t>Praxis Series. Praxis 2008</t>
  </si>
  <si>
    <t>ICTS Mathematics 115</t>
  </si>
  <si>
    <t>Teacher Certification Exam</t>
  </si>
  <si>
    <t>QA13.I3 .W96 2007eb</t>
  </si>
  <si>
    <t>Mathematics teachers--Certification--Illinois--Study guides.,Teachers--Certification--Illinois--Study guides.</t>
  </si>
  <si>
    <t>Wynne, Sharon A.-Illinois Certification Testing System.</t>
  </si>
  <si>
    <t>FTCE Physics 6-12</t>
  </si>
  <si>
    <t>QC32 .W96 2008eb</t>
  </si>
  <si>
    <t>Physics--Examinations--Study guides.,Teaching--Certification--Florida.,Teaching--Florida--Examinations--Study guides.</t>
  </si>
  <si>
    <t>FTCE Middle Grades General Science 5-9</t>
  </si>
  <si>
    <t>Q182 .W96 2009eb</t>
  </si>
  <si>
    <t>Middle school teachers--Certification--Florida.,Middle school teachers--Florida--Examinations.,Science teachers--Certification--Florida.,Science teachers--Florida--Examinations.,Science--Study and teaching--Florida--Examinations.</t>
  </si>
  <si>
    <t>Mathematics 6-12 Teacher Certification Exam</t>
  </si>
  <si>
    <t>QA13.5.F6 W9697 2008eb</t>
  </si>
  <si>
    <t>Educational tests and measurements--Florida--Study guides.,Mathematics--Examinations--Study guides.,Teachers--Certification--Florida.,Teachers--Certification--Florida--Examinations--Study guides.,Teaching--Florida--Examinations--Study guides.</t>
  </si>
  <si>
    <t>FTCE Earth/space Science 6-12</t>
  </si>
  <si>
    <t>Earth sciences--Study and teaching--Examinations.,Science teachers--Certification--Florida.,Science teachers--Florida--Examinations.</t>
  </si>
  <si>
    <t>FTCE Chemistry 6-12</t>
  </si>
  <si>
    <t>QD42 .W96 2008eb</t>
  </si>
  <si>
    <t>Chemistry teachers--Certification--Florida.,Chemistry teachers--Florida--Examinations.,Chemistry--Study and teaching--Examinations.</t>
  </si>
  <si>
    <t>CSET 123-127</t>
  </si>
  <si>
    <t>Physics: Teacher Certification Exam</t>
  </si>
  <si>
    <t>QC32 .W9x 2008eb</t>
  </si>
  <si>
    <t>Physics teachers--Certification--California--Study guides.,Physics--Examinations--Study guides.,Teachers--Certification--California--Study guides.</t>
  </si>
  <si>
    <t>CSET 122, 126</t>
  </si>
  <si>
    <t>Earth and Planetary Science: Teacher Certification Exam</t>
  </si>
  <si>
    <t>Q182 .W96 2008eb</t>
  </si>
  <si>
    <t>CSET: Multiple Subjects.,Earth sciences--Study and teaching--California.,Science teachers--California--Examinations.,Science teachers--Certification--California.</t>
  </si>
  <si>
    <t>Chemistry</t>
  </si>
  <si>
    <t>QD42 .W96x 2007eb</t>
  </si>
  <si>
    <t>Chemistry teachers--Certification--California--Study guides.,Chemistry--Examinations--Study guides.,CSET: Multiple Subjects--Study guides.,Teachers--Certification--California--Study guides.</t>
  </si>
  <si>
    <t>Wynne, Sharon A.-XAMonline, Inc.</t>
  </si>
  <si>
    <t>CSET 118-119</t>
  </si>
  <si>
    <t>General Science Teacher Certification Exam</t>
  </si>
  <si>
    <t>Q182 .W9x 2008eb</t>
  </si>
  <si>
    <t>CSET: Multiple Subjects--Study guides.,Science teachers--Certification--California--Study guides.,Science--Examinations--Study guides.,Teachers--Certification--California--Study guides.</t>
  </si>
  <si>
    <t>CSET: Mathematics 110, 111, 112</t>
  </si>
  <si>
    <t>QA43 .W966x 2008eb</t>
  </si>
  <si>
    <t>CSET: Multiple Subjects.,High school teachers--Certification--California.,Mathematics teachers--Certification--California.,Mathematics--Examinations--Study guides.,Teachers--California--Examinations.</t>
  </si>
  <si>
    <t>Foundational-level Mathematics</t>
  </si>
  <si>
    <t>QA43 .W96x 2008eb</t>
  </si>
  <si>
    <t>High school teachers--Certification--California.,Mathematics teachers--California--Examinations.,Mathematics teachers--Certification--California.,Mathematics--Examinations--Study guides.</t>
  </si>
  <si>
    <t>Existing Light Techniques for Wedding and Portrait Photography</t>
  </si>
  <si>
    <t>PHOTOGRAPHY / Subjects &amp; Themes / General</t>
  </si>
  <si>
    <t>TR819 .H87 2008eb</t>
  </si>
  <si>
    <t>Photography--Lighting.,Portrait photography.,Wedding photography.</t>
  </si>
  <si>
    <t>Hurter, Bill.</t>
  </si>
  <si>
    <t>Film and Digital Techniques for Zone System Photography</t>
  </si>
  <si>
    <t>TR591 .R36 2008eb</t>
  </si>
  <si>
    <t>Rand, Glenn.</t>
  </si>
  <si>
    <t>Jeff Smith's Posing Techniques for Location Portrait Photography</t>
  </si>
  <si>
    <t>PHOTOGRAPHY / Subjects &amp; Themes / Portraits &amp; Selfies</t>
  </si>
  <si>
    <t>TR575 .S59187 2008eb</t>
  </si>
  <si>
    <t>Portrait photography.,Portrait photography--Posing.</t>
  </si>
  <si>
    <t>Smith, Jeff</t>
  </si>
  <si>
    <t>Portrait Photographer's Handbook</t>
  </si>
  <si>
    <t>TR575 .H86 2007eb</t>
  </si>
  <si>
    <t>Portrait photography--Handbooks, manuals, etc.</t>
  </si>
  <si>
    <t>Photographer's Guide to Color Management</t>
  </si>
  <si>
    <t>Professional Techniques for Consistent Results</t>
  </si>
  <si>
    <t>PHOTOGRAPHY / Techniques / Color</t>
  </si>
  <si>
    <t>TR510 .N356 2007eb</t>
  </si>
  <si>
    <t>Color photography.</t>
  </si>
  <si>
    <t>Nelson, Phil</t>
  </si>
  <si>
    <t>Digital Capture and Workflow for Professional Photographers</t>
  </si>
  <si>
    <t>TR267 .L45 2007eb</t>
  </si>
  <si>
    <t>Photography--Digital techniques.</t>
  </si>
  <si>
    <t>Lee, Tom.</t>
  </si>
  <si>
    <t>Master Lighting Guide for Commercial Photographers</t>
  </si>
  <si>
    <t>PHOTOGRAPHY / Techniques / Lighting</t>
  </si>
  <si>
    <t>TR590 .M57 2007eb</t>
  </si>
  <si>
    <t>Commercial photography.,Photography--Business methods.,Photography--Lighting.</t>
  </si>
  <si>
    <t>Morrissey, Robert.</t>
  </si>
  <si>
    <t>Professional Filter Techniques for Digital Photographers</t>
  </si>
  <si>
    <t>TR590.5 .S544 2006eb</t>
  </si>
  <si>
    <t>Photography--Digital techniques.,Photography--Light filters.</t>
  </si>
  <si>
    <t>Sholik, Stan.</t>
  </si>
  <si>
    <t>Beginner's Guide to Adobe Photoshop</t>
  </si>
  <si>
    <t>COMPUTERS / Computer Graphics</t>
  </si>
  <si>
    <t>T385 .P465 2006eb</t>
  </si>
  <si>
    <t>Night and Low-light Techniques for Digital Photography</t>
  </si>
  <si>
    <t>TR610 .C67 2006eb</t>
  </si>
  <si>
    <t>Available light photography.,Night photography.,Photography--Digital techniques.</t>
  </si>
  <si>
    <t>Cope, Peter</t>
  </si>
  <si>
    <t>Black &amp; White Photography Techniques with Adobe Photoshop</t>
  </si>
  <si>
    <t>TR267.5.A3 H36 2006eb</t>
  </si>
  <si>
    <t>Black-and-white photography.,Photography--Digital techniques.</t>
  </si>
  <si>
    <t>Hamilton, Maurice E.</t>
  </si>
  <si>
    <t>The Best of Photographic Lighting</t>
  </si>
  <si>
    <t>Techniques and Images for Digital Photographers</t>
  </si>
  <si>
    <t>TR590 .H87 2006eb</t>
  </si>
  <si>
    <t>Photography--Digital techniques.,Photography--Lighting.</t>
  </si>
  <si>
    <t>Master's Series</t>
  </si>
  <si>
    <t>Digital Imaging for the Underwater Photographer</t>
  </si>
  <si>
    <t>Computer Applications for Photo Enhancement and Presentation</t>
  </si>
  <si>
    <t>TR800 .D73 2005eb</t>
  </si>
  <si>
    <t>Digital cameras--Handbooks, manuals, etc.,Image processing--Digital techniques--Handbooks, manuals, etc.,Photography--Digital techniques--Handbooks, manuals, etc.,Photography--Retouching--Data processing--Handbooks, manuals, etc.,Underwater photography--Handbooks, manuals, etc.</t>
  </si>
  <si>
    <t>Drafahl, Jack.-Drafahl, Sue.</t>
  </si>
  <si>
    <t>Artistic Techniques with Adobe Photoshop and Corel Painter</t>
  </si>
  <si>
    <t>TR267.5.A3 F47 2006eb</t>
  </si>
  <si>
    <t>Ferro, Deborah.</t>
  </si>
  <si>
    <t>Group Portrait Photography Handbook</t>
  </si>
  <si>
    <t>TR680 .H79 2005eb</t>
  </si>
  <si>
    <t>Portrait photography--Handbooks, manuals, etc.,Portraits, Group--Handbooks, manuals, etc.</t>
  </si>
  <si>
    <t>Posing for Portrait Photography</t>
  </si>
  <si>
    <t>A Head-to-toe Guide: for Digital and Film Photographers</t>
  </si>
  <si>
    <t>TR575 .S595 2004eb</t>
  </si>
  <si>
    <t>Photographers' models.,Portrait photography--Posing.</t>
  </si>
  <si>
    <t>Beginner's Guide to Photographic Lighting</t>
  </si>
  <si>
    <t>Techniques for Success in the Studio or on Location</t>
  </si>
  <si>
    <t>TR590 .M37 2004eb</t>
  </si>
  <si>
    <t>Marr, Don.</t>
  </si>
  <si>
    <t>Classic Portrait Photography</t>
  </si>
  <si>
    <t>Techniques and Images From a Master Photographer</t>
  </si>
  <si>
    <t>TR575 .M35 2004eb</t>
  </si>
  <si>
    <t>Portrait photography.,Portrait photography--Technique.</t>
  </si>
  <si>
    <t>McIntosh, William S.</t>
  </si>
  <si>
    <t>Masters Series</t>
  </si>
  <si>
    <t>Master Posing Guide for Portrait Photographers</t>
  </si>
  <si>
    <t>A Complete Guide to Posing Singles, Couples and Groups</t>
  </si>
  <si>
    <t>TR575 .W33 2002eb</t>
  </si>
  <si>
    <t>Portrait photography--Lighting.,Portrait photography--Posing.</t>
  </si>
  <si>
    <t>Wacker, J. D.</t>
  </si>
  <si>
    <t>Black &amp; White Landscape Photography</t>
  </si>
  <si>
    <t>PHOTOGRAPHY / Subjects &amp; Themes / Landscapes</t>
  </si>
  <si>
    <t>TR660 .C58 1999eb</t>
  </si>
  <si>
    <t>Landscape photography.</t>
  </si>
  <si>
    <t>Collett, John.-Collett, David</t>
  </si>
  <si>
    <t>Surface Coatings</t>
  </si>
  <si>
    <t>TA418.9.C57 S88 2009eb</t>
  </si>
  <si>
    <t>Protective coatings.,Surface sealers.</t>
  </si>
  <si>
    <t>Rizzo, Mario-Bruno, Giuseppe</t>
  </si>
  <si>
    <t>Fluid Mechanics and Pipe Flow</t>
  </si>
  <si>
    <t>Turbulence, Simulation, and Dynamics</t>
  </si>
  <si>
    <t>TA357 .F5787 2009eb</t>
  </si>
  <si>
    <t>Fluid mechanics.,Pipe--Fluid dynamics.</t>
  </si>
  <si>
    <t>Matos, Donald.-Valerio, Cristian.</t>
  </si>
  <si>
    <t>Handbook of Dental Care</t>
  </si>
  <si>
    <t>Diagnostic, Preventive and Restorative Services</t>
  </si>
  <si>
    <t>MEDICAL / Dentistry / General</t>
  </si>
  <si>
    <t>RK56 .H36 2009eb</t>
  </si>
  <si>
    <t>Dentistry--Handbooks, manuals, etc.</t>
  </si>
  <si>
    <t>Taggart, Jose C.</t>
  </si>
  <si>
    <t>Strategies, Algorithms and Motion Planning</t>
  </si>
  <si>
    <t>TJ211.3 .R53 2009eb</t>
  </si>
  <si>
    <t>ItoÌ‚, Daiki.</t>
  </si>
  <si>
    <t>Handbook on White Matter</t>
  </si>
  <si>
    <t>Structure, Function and Changes</t>
  </si>
  <si>
    <t>QP376 .H275 2009eb</t>
  </si>
  <si>
    <t>Brain--Histology--Handbooks, manuals, etc.</t>
  </si>
  <si>
    <t>Calton, Robert N.-Westland, Timothy B.</t>
  </si>
  <si>
    <t>Neuroanatomy Research at the Leading Edge</t>
  </si>
  <si>
    <t>Glycolysis</t>
  </si>
  <si>
    <t>Regulation, Processes and Diseases</t>
  </si>
  <si>
    <t>QP701 .G58 2009eb</t>
  </si>
  <si>
    <t>Glycolysis.</t>
  </si>
  <si>
    <t>Lithaw, Paul N.</t>
  </si>
  <si>
    <t>Infectious Pregnancy Complications</t>
  </si>
  <si>
    <t>RG578 .I545 2009eb</t>
  </si>
  <si>
    <t>Communicable diseases in pregnancy.</t>
  </si>
  <si>
    <t>Canfield, Richard N.</t>
  </si>
  <si>
    <t>General Toxicology</t>
  </si>
  <si>
    <t>SCIENCE / Chemistry / Toxicology</t>
  </si>
  <si>
    <t>RA1211 .S93 2009eb</t>
  </si>
  <si>
    <t>Toxicology.</t>
  </si>
  <si>
    <t>SÌŒvarc-GajicÌŒ, Jaroslava.</t>
  </si>
  <si>
    <t>Food Processing and Engineering Topics</t>
  </si>
  <si>
    <t>TP372.5 .F66 2009eb</t>
  </si>
  <si>
    <t>Food texture.,Food--Quality.,Food--Testing.,Rheology.</t>
  </si>
  <si>
    <t>Sosa-Morales, Maria Elena.-VeÌlez-Ruiz, Jorge Fernando</t>
  </si>
  <si>
    <t>Food Science and Technology Series</t>
  </si>
  <si>
    <t>Black Women's Health</t>
  </si>
  <si>
    <t>Challenges and Opportunities</t>
  </si>
  <si>
    <t>HEALTH &amp; FITNESS / Holism</t>
  </si>
  <si>
    <t>RA778.4.A36 B53 2009eb</t>
  </si>
  <si>
    <t>African American women--Diseases--Risk factors.,African American women--Health and hygiene.,Minorities--Health and hygiene.</t>
  </si>
  <si>
    <t>Wesley, Yvonne.</t>
  </si>
  <si>
    <t>Food Science Research and Technology</t>
  </si>
  <si>
    <t>RA784 .F636 2009eb</t>
  </si>
  <si>
    <t>Diet.,Food--Microbiology.,Nutrition.</t>
  </si>
  <si>
    <t>Ohnesorge, Egon.-HuÌˆlsen, Isaak.</t>
  </si>
  <si>
    <t>Aromatase Inhibitors</t>
  </si>
  <si>
    <t>Types, Mode of Action and Indications</t>
  </si>
  <si>
    <t>RC271.E7 A76 2009eb</t>
  </si>
  <si>
    <t>Aromatase--Antagonists--Therapeutic use.,Breast--Cancer--Chemotherapy.,Estrogen--Antagonists--Therapeutic use.,Ovaries--Cancer--Chemotherapy.</t>
  </si>
  <si>
    <t>Lamonte, Jean R.</t>
  </si>
  <si>
    <t>Bosons After Symmetry Breaking in Quantum Field Theory</t>
  </si>
  <si>
    <t>SCIENCE / Waves &amp; Wave Mechanics</t>
  </si>
  <si>
    <t>QC793.5.B622 F85 2009eb</t>
  </si>
  <si>
    <t>Broken symmetry (Physics),Interacting boson-fermion models.,Quantum chromodynamics.,Quantum electrodynamics.</t>
  </si>
  <si>
    <t>Fujita, T.-Hiramoto, Makoto.-Takahashi, Hidenori.</t>
  </si>
  <si>
    <t>New Directions in Developmental Psychobiology</t>
  </si>
  <si>
    <t>QP363.5 .N495 2009eb</t>
  </si>
  <si>
    <t>Developmental psychobiology.</t>
  </si>
  <si>
    <t>Zini, Rachel P.-Glenyn, Bernice C.</t>
  </si>
  <si>
    <t>Sorbents</t>
  </si>
  <si>
    <t>Properties, Materials and Applications</t>
  </si>
  <si>
    <t>TP159.S6 S67 2009eb</t>
  </si>
  <si>
    <t>Sorbents.</t>
  </si>
  <si>
    <t>Willis, Thomas P.</t>
  </si>
  <si>
    <t>Environmental Research Advances Series</t>
  </si>
  <si>
    <t>Progress in Porous Media Research</t>
  </si>
  <si>
    <t>TA418.9.P6 P76 2009eb</t>
  </si>
  <si>
    <t>Porous materials.</t>
  </si>
  <si>
    <t>Tian, Kong Shuo.-Shu, He-Jing.</t>
  </si>
  <si>
    <t>Handbook on Cyanobacteria</t>
  </si>
  <si>
    <t>Biochemistry, Biotechnology and Applications</t>
  </si>
  <si>
    <t>QR99.63 .H36 2009eb</t>
  </si>
  <si>
    <t>Cyanobacteria.,Cyanobacteria--Biotechnology.</t>
  </si>
  <si>
    <t>Marler, Harris J.-Gault, Percy M.</t>
  </si>
  <si>
    <t>Bacteriology Research Developments Series</t>
  </si>
  <si>
    <t>Nanofibers</t>
  </si>
  <si>
    <t>Fabrication, Performance, and Applications</t>
  </si>
  <si>
    <t>TA418.9.F5 N36 2009eb</t>
  </si>
  <si>
    <t>Nanofibers.</t>
  </si>
  <si>
    <t>Chang, W. N.</t>
  </si>
  <si>
    <t>Spintronics</t>
  </si>
  <si>
    <t>Materials, Applications, and Devices</t>
  </si>
  <si>
    <t>TK7874.887 .L66 2009eb</t>
  </si>
  <si>
    <t>Spintronics.</t>
  </si>
  <si>
    <t>Lombardi, Giulia C.-Bianchi, Ginevra E.</t>
  </si>
  <si>
    <t>The Physics of Quarks</t>
  </si>
  <si>
    <t>SCIENCE / Physics / Atomic &amp; Molecular</t>
  </si>
  <si>
    <t>QC1 .A4114 2009eb</t>
  </si>
  <si>
    <t>Particles (Nuclear physics),Quarks.</t>
  </si>
  <si>
    <t>Grant, Theo M.-Watson, Nicola J.</t>
  </si>
  <si>
    <t>Traditional Chinese Foods</t>
  </si>
  <si>
    <t>Production and Research Progress</t>
  </si>
  <si>
    <t>TP369.C6 Z35 2009eb</t>
  </si>
  <si>
    <t>Food industry and trade--China.</t>
  </si>
  <si>
    <t>Zaigui, Li.-Hongzhuo, Tan.</t>
  </si>
  <si>
    <t>Tumor Necrosis Factor</t>
  </si>
  <si>
    <t>QR185.8.T84 T855 2009eb</t>
  </si>
  <si>
    <t>Tumor necrosis factor.,Tumor necrosis factor--Therapeutic use.</t>
  </si>
  <si>
    <t>Rossard, Toma P.</t>
  </si>
  <si>
    <t>Water Purification</t>
  </si>
  <si>
    <t>TD430 .W3646 2009eb</t>
  </si>
  <si>
    <t>Water--Purification.</t>
  </si>
  <si>
    <t>SÃ¸nderby, Linus.-Gertsen, Nikolaj.</t>
  </si>
  <si>
    <t>Recent Advances in Dielectric Materials</t>
  </si>
  <si>
    <t>TK453 .R43 2009eb</t>
  </si>
  <si>
    <t>Dielectrics.,Interconnects (Integrated circuit technology)</t>
  </si>
  <si>
    <t>Huang, Ai</t>
  </si>
  <si>
    <t>Challenges in Adolescent Health</t>
  </si>
  <si>
    <t>An Australian Perspective</t>
  </si>
  <si>
    <t>RJ103.A8 C43 2009eb</t>
  </si>
  <si>
    <t>Youth--Health and hygiene--Australia.</t>
  </si>
  <si>
    <t>Bennett, David L.</t>
  </si>
  <si>
    <t>Migraine and Headache</t>
  </si>
  <si>
    <t>Oxford University Press</t>
  </si>
  <si>
    <t>RC392 .M38 2009eb</t>
  </si>
  <si>
    <t>Headache.,Migraine.</t>
  </si>
  <si>
    <t>Mauskop, Alexander.</t>
  </si>
  <si>
    <t>Oxford American Pain Library</t>
  </si>
  <si>
    <t>Airplane Flying Handbook: ASA FAA-H-8083-3A</t>
  </si>
  <si>
    <t>Aviation Supplies and Academics, Inc.</t>
  </si>
  <si>
    <t>TL710 .A54 2004eb</t>
  </si>
  <si>
    <t>Airplanes--Piloting--Handbooks, manuals, etc.</t>
  </si>
  <si>
    <t>FAA Handbooks Series</t>
  </si>
  <si>
    <t>Pilot's Handbook of Aeronautical Knowledge</t>
  </si>
  <si>
    <t>TL710 .I45 2008eb</t>
  </si>
  <si>
    <t>Aeronautics--Handbooks, manuals, etc.,Airplanes--Piloting.,Airplanes--Piloting--Handbooks, manuals, etc.</t>
  </si>
  <si>
    <t>FAA-H</t>
  </si>
  <si>
    <t>Physical Aging of Glasses</t>
  </si>
  <si>
    <t>The VFT Approach</t>
  </si>
  <si>
    <t>TA450 .R328 2009eb</t>
  </si>
  <si>
    <t>Enthalpy.,Glass--Heat treatment.,Glass--Mechanical properties.</t>
  </si>
  <si>
    <t>Rault, Jacques.</t>
  </si>
  <si>
    <t>Linear Energy Relationships to Chemical Kinetics</t>
  </si>
  <si>
    <t>QD502 .M33 2009eb</t>
  </si>
  <si>
    <t>Chemical kinetics.,Chemical reaction, Conditions and laws of.,Linear free energy relationship.,Solution (Chemistry)</t>
  </si>
  <si>
    <t>Makitra, R. G.-Zaikov, Gennadii Efremovich.-TurovsÊ¹kyiÌ†, A. A.</t>
  </si>
  <si>
    <t>Hazardous Waste</t>
  </si>
  <si>
    <t>Classifications and Treatment Technologies</t>
  </si>
  <si>
    <t>TD1050.C65 H39 2008eb</t>
  </si>
  <si>
    <t>Hazardous wastes--Classification.,Hazardous wastes--Management.,Radioactive wastes--Characterization.</t>
  </si>
  <si>
    <t>Sheha, Reda R.-Someda, Hanan H.</t>
  </si>
  <si>
    <t>Macro-projects</t>
  </si>
  <si>
    <t>Environment and Technology</t>
  </si>
  <si>
    <t>TA170 .B65 2009eb</t>
  </si>
  <si>
    <t>Environmental engineering--Technological innovations.,Large scale systems.,Sustainable engineering--Technological innovations.</t>
  </si>
  <si>
    <t>Bolonkin, Alexander.-Cathcart, Richard Brook.</t>
  </si>
  <si>
    <t>Reliability Engineering Advances</t>
  </si>
  <si>
    <t>TECHNOLOGY &amp; ENGINEERING / Quality Control</t>
  </si>
  <si>
    <t>TA169 .R43923 2009eb</t>
  </si>
  <si>
    <t>Reliability (Engineering),Systems engineering.</t>
  </si>
  <si>
    <t>Hayworth, Gregory I.</t>
  </si>
  <si>
    <t>Cryptography Research Perspectives</t>
  </si>
  <si>
    <t>QA76.9.A25 C833 2009eb</t>
  </si>
  <si>
    <t>Computer security.,Cryptography.</t>
  </si>
  <si>
    <t>Chen, Roland E.</t>
  </si>
  <si>
    <t>Magnetic Isotope Effect in Chemistry and Biochemistry</t>
  </si>
  <si>
    <t>QD476 .B76 2009eb</t>
  </si>
  <si>
    <t>Chemical kinetics.,Free radical reactions.,Isotopes.,Nuclear spin.</t>
  </si>
  <si>
    <t>Buchachenko, A. L.</t>
  </si>
  <si>
    <t>Fiber Lasers</t>
  </si>
  <si>
    <t>TA1675 .F53 2009</t>
  </si>
  <si>
    <t>Laser materials.,Lasers--Industrial applications.,Optical fibers.</t>
  </si>
  <si>
    <t>Kimura, Masato.</t>
  </si>
  <si>
    <t>Modern Trends in Macromolecular Chemistry</t>
  </si>
  <si>
    <t>QD381 .M58 2009eb</t>
  </si>
  <si>
    <t>Macromolecules.,Supramolecular chemistry.</t>
  </si>
  <si>
    <t>Lee, Jon N.</t>
  </si>
  <si>
    <t>Ergonomics</t>
  </si>
  <si>
    <t>Design, Integration, and Implementation</t>
  </si>
  <si>
    <t>RA967 .E74 2009eb</t>
  </si>
  <si>
    <t>Health facilities--Design and construction.,Human engineering.</t>
  </si>
  <si>
    <t>Brinkerhoff, Bram N.</t>
  </si>
  <si>
    <t>Fatigue Crack Growth</t>
  </si>
  <si>
    <t>Mechanics, Behavior and Prediction</t>
  </si>
  <si>
    <t>TECHNOLOGY &amp; ENGINEERING / Fracture Mechanics</t>
  </si>
  <si>
    <t>TA418.38 .F3677 2009eb</t>
  </si>
  <si>
    <t>Fracture mechanics.,Materials--Fatigue.</t>
  </si>
  <si>
    <t>Lignelli, Alphonse F.</t>
  </si>
  <si>
    <t>Dams</t>
  </si>
  <si>
    <t>Impacts, Stability and Design</t>
  </si>
  <si>
    <t>TECHNOLOGY &amp; ENGINEERING / Civil / Dams &amp; Reservoirs</t>
  </si>
  <si>
    <t>TC540 .D3726 2009</t>
  </si>
  <si>
    <t>Dams.</t>
  </si>
  <si>
    <t>Barnes, Michael C.-Hayes, Walter P.</t>
  </si>
  <si>
    <t>Cyclones</t>
  </si>
  <si>
    <t>Background, History and Impact</t>
  </si>
  <si>
    <t>QC944 .C93 2009</t>
  </si>
  <si>
    <t>Cyclones.</t>
  </si>
  <si>
    <t>LaBeau, Terrance G.</t>
  </si>
  <si>
    <t>Attention Deficit Hyperactivity Disorder (ADHD)</t>
  </si>
  <si>
    <t>RJ506.H9 A93135 2009eb</t>
  </si>
  <si>
    <t>Attention-deficit hyperactivity disorder.</t>
  </si>
  <si>
    <t>Mitchell, Aileen E.-Gordon, Stuart M.</t>
  </si>
  <si>
    <t>Psychiatry- Theory, Applications, and Treatments Series</t>
  </si>
  <si>
    <t>RC662.4 .I56 2009eb</t>
  </si>
  <si>
    <t>Diabetes--Complications.,Insulin resistance.</t>
  </si>
  <si>
    <t>Yao, E. B.</t>
  </si>
  <si>
    <t>Aerosols</t>
  </si>
  <si>
    <t>Chemistry, Environmental Impact and Health Effects</t>
  </si>
  <si>
    <t>QD549 .A47 2009eb</t>
  </si>
  <si>
    <t>Aerosols.,Aerosols--Environmental aspects.</t>
  </si>
  <si>
    <t>Peretz, Daniel H.</t>
  </si>
  <si>
    <t>Airports</t>
  </si>
  <si>
    <t>Performance, Risks, and Problems</t>
  </si>
  <si>
    <t>TL725 .A52 2009eb</t>
  </si>
  <si>
    <t>Airport capacity.,Airports--Design and construction.,Airports--Planning.</t>
  </si>
  <si>
    <t>Castille, Martin E.-Larauge, Pierre B.</t>
  </si>
  <si>
    <t>The Lithosphere</t>
  </si>
  <si>
    <t>Geochemistry, Geology and Geophysics</t>
  </si>
  <si>
    <t>QE511</t>
  </si>
  <si>
    <t>Geochemistry.,Geology, Structural.,Geophysics.</t>
  </si>
  <si>
    <t>Anderson, Jarod E.-Coates, Robert W.</t>
  </si>
  <si>
    <t>Behavioral Pediatrics</t>
  </si>
  <si>
    <t>RJ506.B44 B445 2009eb</t>
  </si>
  <si>
    <t>Behavior disorders in children.,Child psychopathology.</t>
  </si>
  <si>
    <t>In Health and Human Development Series</t>
  </si>
  <si>
    <t>Anticancer Drugs</t>
  </si>
  <si>
    <t>Design, Delivery and Pharmacology</t>
  </si>
  <si>
    <t>RS431.A64 A58 2009eb</t>
  </si>
  <si>
    <t>Antineoplastic agents.,Cancer--Chemotherapy.</t>
  </si>
  <si>
    <t>Spencer, Peter-Holt, Walter.</t>
  </si>
  <si>
    <t>Cancer Etiology, Diagnosis and Treatments</t>
  </si>
  <si>
    <t>Ecological Restoration</t>
  </si>
  <si>
    <t>QH541.15.R45 E26 2009eb</t>
  </si>
  <si>
    <t>Applied ecology.,Restoration ecology.</t>
  </si>
  <si>
    <t>Pardue, George H.-Olvera, Thomas K.</t>
  </si>
  <si>
    <t>Adolescent Schizophrenia</t>
  </si>
  <si>
    <t>PSYCHOLOGY / Psychopathology / Schizophrenia</t>
  </si>
  <si>
    <t>RJ506.S3 A36 2009eb</t>
  </si>
  <si>
    <t>Adolescent psychopathology.,Schizophrenia in adolescence.</t>
  </si>
  <si>
    <t>Trotman, Robert P.-Nillinghouse, James T.</t>
  </si>
  <si>
    <t>Autoimmunity</t>
  </si>
  <si>
    <t>Role, Regulation and Disorders</t>
  </si>
  <si>
    <t>QR188.3 A9845 2009eb</t>
  </si>
  <si>
    <t>Autoimmune diseases.,Autoimmunity.</t>
  </si>
  <si>
    <t>Zimmermann, Lucas F.-Vogel, Fynn L.</t>
  </si>
  <si>
    <t>Intracranial Hypertension</t>
  </si>
  <si>
    <t>RC386.2 .I36 2009eb</t>
  </si>
  <si>
    <t>Intracranial hypertension.</t>
  </si>
  <si>
    <t>Iencean, Stefan Mircea.-Ciurea, A. V.</t>
  </si>
  <si>
    <t>Neurology--laboratory and Clinical Research Development Series</t>
  </si>
  <si>
    <t>Atomic, Molecular, and Optical Physics</t>
  </si>
  <si>
    <t>TECHNOLOGY &amp; ENGINEERING / Optics</t>
  </si>
  <si>
    <t>QC688 .A86 2009eb</t>
  </si>
  <si>
    <t>Lasers.,Physical optics.</t>
  </si>
  <si>
    <t>Chen, L. T.</t>
  </si>
  <si>
    <t>Deep Brain Stimulation</t>
  </si>
  <si>
    <t>Applications, Complications and Side Effects</t>
  </si>
  <si>
    <t>RC350.B72 D44 2009eb</t>
  </si>
  <si>
    <t>Anderson, Paul B.-Rogers, Mark H.</t>
  </si>
  <si>
    <t>Environmental and Regional Air Pollution</t>
  </si>
  <si>
    <t>TD883 .G35 2009eb</t>
  </si>
  <si>
    <t>Air--Pollution.</t>
  </si>
  <si>
    <t>Mancini, Richard.-Gallo, Dean.</t>
  </si>
  <si>
    <t>Earthquake Engineering</t>
  </si>
  <si>
    <t>TECHNOLOGY &amp; ENGINEERING / Civil / Earthquake</t>
  </si>
  <si>
    <t>TA654.6 .E37825 2009eb</t>
  </si>
  <si>
    <t>Earthquake engineering.</t>
  </si>
  <si>
    <t>Ikeda, Yuuki.-Miura, Takumi.</t>
  </si>
  <si>
    <t>Ecotoxicology Research Developments</t>
  </si>
  <si>
    <t>RA1226 .E26 2009eb</t>
  </si>
  <si>
    <t>Environmental toxicology.</t>
  </si>
  <si>
    <t>Santos, Eduardo B.</t>
  </si>
  <si>
    <t>Developmental Gene Expression Regulation</t>
  </si>
  <si>
    <t>SCIENCE / Life Sciences / Developmental Biology</t>
  </si>
  <si>
    <t>QH453 .D475 2009eb</t>
  </si>
  <si>
    <t>Developmental genetics.,Genetic regulation.</t>
  </si>
  <si>
    <t>Kurzfield, Nathan C.</t>
  </si>
  <si>
    <t>Bioengineering for Pollution Prevention</t>
  </si>
  <si>
    <t>TD192.5 .A46 2009eb</t>
  </si>
  <si>
    <t>Bioengineering.,Bioremediation.,Pollution prevention.</t>
  </si>
  <si>
    <t>Ahmann, Dianne.-Dorgan, John R.</t>
  </si>
  <si>
    <t>Antennas</t>
  </si>
  <si>
    <t>Parameters, Models and Applications</t>
  </si>
  <si>
    <t>TK7871.6 .A535 2009eb</t>
  </si>
  <si>
    <t>Antennas (Electronics)</t>
  </si>
  <si>
    <t>Ferrero, Albert I.</t>
  </si>
  <si>
    <t>Oxidative Stress and Antioxidants</t>
  </si>
  <si>
    <t>Their Role in Human Disease</t>
  </si>
  <si>
    <t>MEDICAL / Pathophysiology</t>
  </si>
  <si>
    <t>RB170 .O95 2009eb</t>
  </si>
  <si>
    <t>Antioxidants.,Oxidative stress.</t>
  </si>
  <si>
    <t>Rodrigo, Ramon.</t>
  </si>
  <si>
    <t>Drilling of Composite Materials</t>
  </si>
  <si>
    <t>TA418.9.C6 D75 2009eb</t>
  </si>
  <si>
    <t>Composite materials--Delamination--Prevention.,Drilling and boring machinery.,Drilling and boring.</t>
  </si>
  <si>
    <t>Davim, J. Paulo.</t>
  </si>
  <si>
    <t>Materials and Manufacturing Technology Series</t>
  </si>
  <si>
    <t>Challenges in Acute Geriatric Care</t>
  </si>
  <si>
    <t>RC952.5 .C43 2009eb</t>
  </si>
  <si>
    <t>Geriatrics.,Geriatrics--Case studies.</t>
  </si>
  <si>
    <t>Naschitz, Jochanan E.</t>
  </si>
  <si>
    <t>Geriatrics, Gerontology and Elderly Issues Series</t>
  </si>
  <si>
    <t>Genetic Diversity</t>
  </si>
  <si>
    <t>QH401 .G46 2009eb</t>
  </si>
  <si>
    <t>Variation (Biology)</t>
  </si>
  <si>
    <t>Springer, Douglas A.-Mahoney, Conner L.</t>
  </si>
  <si>
    <t>Borderline Personality Disorder</t>
  </si>
  <si>
    <t>RC569.5.B67 B6893 2009eb</t>
  </si>
  <si>
    <t>Borderline personality disorder.</t>
  </si>
  <si>
    <t>Westbrook, Linda F.-Jackson, Marian H.</t>
  </si>
  <si>
    <t>New Cancer Research Developments</t>
  </si>
  <si>
    <t>RC262 .N49 2009eb</t>
  </si>
  <si>
    <t>Breast--Cancer--Radiotherapy.,Cancer.,Cancer--Molecular aspects.,Carcinogenesis.</t>
  </si>
  <si>
    <t>Ford, Thomas D.</t>
  </si>
  <si>
    <t>Disputing Global Warming</t>
  </si>
  <si>
    <t>QC981.8.G56 D57 2009eb</t>
  </si>
  <si>
    <t>Global warming.</t>
  </si>
  <si>
    <t>Horvath, Anton.-Molnar, Boris.</t>
  </si>
  <si>
    <t>Diet Quality of Americans</t>
  </si>
  <si>
    <t>TX360.U6 C634 2009eb</t>
  </si>
  <si>
    <t>Diet--United States.,Nutrition.</t>
  </si>
  <si>
    <t>Cole, Nancy.-Fox, Mary Kay.</t>
  </si>
  <si>
    <t>Aviation and the Environment</t>
  </si>
  <si>
    <t>TD195.A27 A95 2009eb</t>
  </si>
  <si>
    <t>Aeronautics--Environmental aspects.,Aircraft exhaust emissions--Environmental aspects.</t>
  </si>
  <si>
    <t>Goodman, Jon C.</t>
  </si>
  <si>
    <t>Adverse Effects of Hormonal Contraceptives</t>
  </si>
  <si>
    <t>Myth and Reality</t>
  </si>
  <si>
    <t>RG137.4 .A38 2009eb</t>
  </si>
  <si>
    <t>Contraceptive drugs--Side effects.</t>
  </si>
  <si>
    <t>Sabatini, Rosa.</t>
  </si>
  <si>
    <t>Multiphase Flow Research</t>
  </si>
  <si>
    <t>TA357.5.M84 M855 2009eb</t>
  </si>
  <si>
    <t>Multiphase flow.</t>
  </si>
  <si>
    <t>Williams, J. R.-Martin, S.</t>
  </si>
  <si>
    <t>Robot-age Knowledge Changeover</t>
  </si>
  <si>
    <t>TJ211 .M49 2009eb</t>
  </si>
  <si>
    <t>Robotics.</t>
  </si>
  <si>
    <t>Michelini, Rinaldo C.</t>
  </si>
  <si>
    <t>Robotics Research and Technology</t>
  </si>
  <si>
    <t>Abnormal Psychology</t>
  </si>
  <si>
    <t>RC454.4 .A22 2009eb</t>
  </si>
  <si>
    <t>Psychology, Pathological.</t>
  </si>
  <si>
    <t>Revera, Paulina K.-Friedman, Helen D.</t>
  </si>
  <si>
    <t>Aquatic Ecosystem Research Trends</t>
  </si>
  <si>
    <t>QH541.5.W3 A6786 2009eb</t>
  </si>
  <si>
    <t>Aquatic ecology--Research.</t>
  </si>
  <si>
    <t>Nairne, George H.</t>
  </si>
  <si>
    <t>Estrogens</t>
  </si>
  <si>
    <t>Production, Functions and Applications</t>
  </si>
  <si>
    <t>RM295 .E884 2009eb</t>
  </si>
  <si>
    <t>Estrogen--Therapeutic use.</t>
  </si>
  <si>
    <t>Bartos, James R.</t>
  </si>
  <si>
    <t>Endocrinology Research and Clinical Developments</t>
  </si>
  <si>
    <t>Punishment and Political Order</t>
  </si>
  <si>
    <t>HV7419 .M398 2007</t>
  </si>
  <si>
    <t>Punishment--Government policy.,Punishment--Government policy--United States.,Punishment--Philosophy.,Social control.,Sovereignty.</t>
  </si>
  <si>
    <t>McBride, Keally D.</t>
  </si>
  <si>
    <t>Law, Meaning, and Violence</t>
  </si>
  <si>
    <t>Careers in Osteopathic Medicine</t>
  </si>
  <si>
    <t>RZ336 .C37 2010eb</t>
  </si>
  <si>
    <t>Medicine--Vocational guidance.,Osteopathic medicine--Vocational guidance.,Osteopathic physicians--Vocational guidance.,Physicians--Vocational guidance.</t>
  </si>
  <si>
    <t>Career As an Audiologist</t>
  </si>
  <si>
    <t>Healthcare Professionals Helping People to Hear</t>
  </si>
  <si>
    <t>RC428.5 .C37 2010eb</t>
  </si>
  <si>
    <t>Allied health personnel--Vocational guidance.,Audiologists--Vocational guidance.,Audiology--Vocational guidance.,Hearing--Vocational guidance.</t>
  </si>
  <si>
    <t>Career As a Radiologic Technologist</t>
  </si>
  <si>
    <t>Third Largest Group of Healthcare Professionals (following Physicians and Nurses)</t>
  </si>
  <si>
    <t>MEDICAL / Allied Health Services / Imaging Technologies</t>
  </si>
  <si>
    <t>R898 .C37 2010eb</t>
  </si>
  <si>
    <t>Allied health personnel--Vocational guidance.,Biomedical technicians--Vocational guidance.,Radiation workers--Vocational guidance.,Radiography--Vocational guidance.,Radiologic technologists--Vocational guidance.,Radiology, Medical--Vocational guidance.</t>
  </si>
  <si>
    <t>Career As a Food Chemist</t>
  </si>
  <si>
    <t>Using Science and Technology to Make Food Safe, Healthful and Delicious</t>
  </si>
  <si>
    <t>TX545 .C37 2010eb</t>
  </si>
  <si>
    <t>Chemistry, Technical--Vocational guidance.,Chemists--Vocational guidance.,Food industry and trade--Vocational guidance.,Food--Analysis--Vocational guidance.,Sanitary chemistry--Vocational guidance.</t>
  </si>
  <si>
    <t>Career As a Dispensing Optician</t>
  </si>
  <si>
    <t>Vision Healthcare Professional: Eyeglasses Maker and Retailer</t>
  </si>
  <si>
    <t>RE959 .C37 2010eb</t>
  </si>
  <si>
    <t>Allied health personnel--Vocational guidance.,Opticians--Vocational guidance.</t>
  </si>
  <si>
    <t>Career As a Chemist</t>
  </si>
  <si>
    <t>Scientific Research</t>
  </si>
  <si>
    <t>QD39.5 .C36 2010eb</t>
  </si>
  <si>
    <t>Chemistry--Vocational guidance.,Chemists.</t>
  </si>
  <si>
    <t>Digital Review of Asia Pacific 2009-2010</t>
  </si>
  <si>
    <t>HC681.3.I55 D44 2009eb</t>
  </si>
  <si>
    <t>Information technology--Asia--Periodicals.,Information technology--Economic aspects--Asia--Periodicals.,Information technology--Economic aspects--Pacific Area--Periodicals.,Information technology--Government policy--Asia--Periodicals.,Information technology--Government policy--Pacific Area--Periodicals.,Information technology--Pacific Area--Periodicals.,Information technology--Social aspects--Asia--Periodicals.,Information technology--Social aspects--Pacific Area--Periodicals.</t>
  </si>
  <si>
    <t>Musa Abu Hassan.-Akhtar, Shahid.</t>
  </si>
  <si>
    <t>Nova's GRE Math Prep Course</t>
  </si>
  <si>
    <t>QA43 .K615 2009eb</t>
  </si>
  <si>
    <t>Graduate Record Examination--Study guides.,Mathematics--Examinations, questions, etc.,Mathematics--Examinations--Study guides.,Universities and colleges--United States--Graduate work--Examinations, questions, etc.</t>
  </si>
  <si>
    <t>Kolby, Jeff.-Vaughn, Derrick.</t>
  </si>
  <si>
    <t>MCQs in Pharmacology</t>
  </si>
  <si>
    <t>RM301.13 .S24 2008eb</t>
  </si>
  <si>
    <t>Pharmacology--Examinations, questions, etc.</t>
  </si>
  <si>
    <t>Sagar, G. Vidya.</t>
  </si>
  <si>
    <t>MCQs in Microbiology</t>
  </si>
  <si>
    <t>QR61.5 .S24 2008eb</t>
  </si>
  <si>
    <t>Microbiology--Examinations, questions, etc.</t>
  </si>
  <si>
    <t>Cooking</t>
  </si>
  <si>
    <t>The Quintessential Art</t>
  </si>
  <si>
    <t>TX631 .T5513 2008eb</t>
  </si>
  <si>
    <t>Gastronomy--History.</t>
  </si>
  <si>
    <t>This, HerveÌ.-Gagnaire, Pierre</t>
  </si>
  <si>
    <t>California Studies in Food and Culture</t>
  </si>
  <si>
    <t>Law Touched Our Hearts</t>
  </si>
  <si>
    <t>A Generation Remembers Brown V. Board of Education</t>
  </si>
  <si>
    <t>LC212.52 .L39 2009eb</t>
  </si>
  <si>
    <t>Law teachers--United States--Public opinion.,Public opinion--United States.,Segregation in education--Law and legislation--United States--History.,Segregation in education--United States--History.</t>
  </si>
  <si>
    <t>Robinson, Mildred Wigfall.-Bonnie, Richard J.</t>
  </si>
  <si>
    <t>Culture Keeping</t>
  </si>
  <si>
    <t>White Mothers, International Adoption, and the Negotiation of Family Difference</t>
  </si>
  <si>
    <t>FAMILY &amp; RELATIONSHIPS / Adoption &amp; Fostering</t>
  </si>
  <si>
    <t>HV875.5 .J33 2008eb</t>
  </si>
  <si>
    <t>Adoption.,Adoptive parents.,Cognition and culture.,Families.,Intercountry adoption.,Kinship.,Mothers.</t>
  </si>
  <si>
    <t>Jacobson, Heather.</t>
  </si>
  <si>
    <t>A Stranger in My Own Land</t>
  </si>
  <si>
    <t>Sofia Casanova, a Spanish Writer in the European Fin De SieÌ€cle</t>
  </si>
  <si>
    <t>PQ6605.A826 Z65 2008eb</t>
  </si>
  <si>
    <t>Hooper, Kirsty.</t>
  </si>
  <si>
    <t>Living As Equals</t>
  </si>
  <si>
    <t>How Three White Communities Struggled to Make Interracial Connections During the Civil Rights Era</t>
  </si>
  <si>
    <t>E185.615 .P35 2008eb</t>
  </si>
  <si>
    <t>Race discrimination--United States--History--20th century.,Racism--United States--History--20th century.</t>
  </si>
  <si>
    <t>Palmer, Phyllis M.</t>
  </si>
  <si>
    <t>With Music and Justice for All</t>
  </si>
  <si>
    <t>Some Southerners and Their Passions</t>
  </si>
  <si>
    <t>F209 .G25 2008eb</t>
  </si>
  <si>
    <t>Gaillard, Frye</t>
  </si>
  <si>
    <t>English Mercuries</t>
  </si>
  <si>
    <t>Soldier Poets in the Age of Shakespeare</t>
  </si>
  <si>
    <t>PR535.W3 M35 2009eb</t>
  </si>
  <si>
    <t>English poetry--Early modern, 1500-1700--History and criticism.,Soldiers' writings, English--History and criticism.,War in literature.</t>
  </si>
  <si>
    <t>McKeown, Adam</t>
  </si>
  <si>
    <t>Mexico Reading the United States</t>
  </si>
  <si>
    <t>E183.8.M6 M477 2009eb</t>
  </si>
  <si>
    <t>Mexican literature--History and criticism.,Public opinion--Mexico.</t>
  </si>
  <si>
    <t>Long, Mary K.-Egan, Linda.</t>
  </si>
  <si>
    <t>The Secret</t>
  </si>
  <si>
    <t>Love, Marriage, and HIV</t>
  </si>
  <si>
    <t>FAMILY &amp; RELATIONSHIPS / Marriage &amp; Long-Term Relationships</t>
  </si>
  <si>
    <t>GN480 .S43 2009eb</t>
  </si>
  <si>
    <t>Adultery--Cross-cultural studies.,HIV infections--Cross-cultural studies.,Husbands--Sexual behavior--Cross-cultural studies.,Marital conflict--Cross-cultural studies.,Marriage--Cross-cultural studies.</t>
  </si>
  <si>
    <t>Hirsch, Jennifer S.</t>
  </si>
  <si>
    <t>The Political Centrist</t>
  </si>
  <si>
    <t>POLITICAL SCIENCE / Political Ideologies / General</t>
  </si>
  <si>
    <t>JK2391.C46 H55 2009eb</t>
  </si>
  <si>
    <t>Conservatism--United States.,Liberalism--United States.,Political science--United States.</t>
  </si>
  <si>
    <t>Hill, John L.</t>
  </si>
  <si>
    <t>Building Nineteenth-century Latin America</t>
  </si>
  <si>
    <t>Re-rooted Cultures, Identities, and Nations</t>
  </si>
  <si>
    <t>F1413 .B85 2009eb</t>
  </si>
  <si>
    <t>Gender identity--Latin America--History--19th century.,National characteristics, Latin American.,Nationalism--Latin America--History--19th century.,Popular culture--Latin America--History--19th century.,Publishers and publishing--Latin America--History--19th century.</t>
  </si>
  <si>
    <t>GonzaÌlez Espitia, Juan Carlos.-Acree, William G.</t>
  </si>
  <si>
    <t>The People Shall Rule</t>
  </si>
  <si>
    <t>ACORN, Community Organizing, and the Struggle for Economic Justice</t>
  </si>
  <si>
    <t>HN65 .P395 2009eb</t>
  </si>
  <si>
    <t>Community development, Urban--United States.,Community organization--United States.</t>
  </si>
  <si>
    <t>Fisher, Robert</t>
  </si>
  <si>
    <t>Real Vampires, Night Stalkers and Creatures From the Darkside</t>
  </si>
  <si>
    <t>BODY, MIND &amp; SPIRIT / Occultism</t>
  </si>
  <si>
    <t>BF1556 .S73 2010eb</t>
  </si>
  <si>
    <t>Vampires.</t>
  </si>
  <si>
    <t>The Handy Dinosaur Answer Book</t>
  </si>
  <si>
    <t>NATURE / Animals / Dinosaurs &amp; Prehistoric Creatures</t>
  </si>
  <si>
    <t>QE861.4 .S83 2010eb</t>
  </si>
  <si>
    <t>Dinosaurs--Miscellanea.</t>
  </si>
  <si>
    <t>Handy ... Answer Book</t>
  </si>
  <si>
    <t>Die sowjetischen Geheimdienste in der SBZ/DDR von 1945 bis 1953</t>
  </si>
  <si>
    <t>HV7744.5.A2 F6 2009eb</t>
  </si>
  <si>
    <t>Intelligence service--Soviet Union--History--Sources.,Internal security--Germany (East)--Sources.</t>
  </si>
  <si>
    <t>Foitzik, Jan.-Petrov, N. V.</t>
  </si>
  <si>
    <t>Texte und Materialien zur Zeitgeschichte</t>
  </si>
  <si>
    <t>Corrosion Protection</t>
  </si>
  <si>
    <t>Processes, Management and Technologies</t>
  </si>
  <si>
    <t>TA418.74 .C675 2009</t>
  </si>
  <si>
    <t>Corrosion and anti-corrosives.,Protective coatings.</t>
  </si>
  <si>
    <t>Gulbis, Vilhems.-KalninÊ¹, Teodors.</t>
  </si>
  <si>
    <t>Lie Groups</t>
  </si>
  <si>
    <t>QA387 .L537 2009eb</t>
  </si>
  <si>
    <t>Lie groups.</t>
  </si>
  <si>
    <t>Canterra, Altos B.</t>
  </si>
  <si>
    <t>Antibiotic Resistance</t>
  </si>
  <si>
    <t>Causes and Risk Factors, Mechanisms and Alternatives</t>
  </si>
  <si>
    <t>QR177 .A55 2009eb</t>
  </si>
  <si>
    <t>Drug resistance in microorganisms.</t>
  </si>
  <si>
    <t>Muniz, Kaden P.-Bonilla, Adriel R.</t>
  </si>
  <si>
    <t>Pharmacology: Research, Safety Testing and Regulation Series</t>
  </si>
  <si>
    <t>Our Loving Relationship</t>
  </si>
  <si>
    <t>PSYCHOLOGY / Psychotherapy / Couples &amp; Family</t>
  </si>
  <si>
    <t>RC488.5 .E44 2009eb</t>
  </si>
  <si>
    <t>Family psychotherapy.,Marital psychotherapy.</t>
  </si>
  <si>
    <t>Emener, William G.-Lambos, William A.</t>
  </si>
  <si>
    <t>Current Advances in Molecular Mycology</t>
  </si>
  <si>
    <t>SCIENCE / Life Sciences / Molecular Biology</t>
  </si>
  <si>
    <t>QK604.2.M64 C87 2009eb</t>
  </si>
  <si>
    <t>Fungal diseases of plants--Molecular aspects.,Fungal molecular biology.,Fungi--Genetics.,Phytopathogenic fungi.</t>
  </si>
  <si>
    <t>Gherbawy, Youssuf.-Mach, Robert Ludwig.-Rai, Mahendra.</t>
  </si>
  <si>
    <t>The Child's World</t>
  </si>
  <si>
    <t>The Comprehensive Guide to Assessing Children in Need Second Edition</t>
  </si>
  <si>
    <t>HV751.A6 C62 2010eb</t>
  </si>
  <si>
    <t>Abused children--Services for--Great Britain.,Children with social disabilities--Services for--Great Britain.,Family assessment--Great Britain.,Family social work--Great Britain.,Needs assessment--Great Britain.,Social work with children--Great Britain.</t>
  </si>
  <si>
    <t>Basarab-Horwath, Janet Anne</t>
  </si>
  <si>
    <t>A Cognitive-behavioral Treatment Program for Overcoming Alcohol Problems</t>
  </si>
  <si>
    <t>Therapist Guide</t>
  </si>
  <si>
    <t>RC565 .E67 2009eb</t>
  </si>
  <si>
    <t>Alcoholism--Treatment.,Cognitive therapy.</t>
  </si>
  <si>
    <t>Epstein, Elizabeth E.-McCrady, Barbara S.</t>
  </si>
  <si>
    <t>Treatments That Work</t>
  </si>
  <si>
    <t>Foundations of Modern Macroeconomics</t>
  </si>
  <si>
    <t>HB172.5 .H437 2009eb</t>
  </si>
  <si>
    <t>Macroeconomics--Problems, exercises, etc.</t>
  </si>
  <si>
    <t>Heijdra, Ben J.</t>
  </si>
  <si>
    <t>Rational Ritual</t>
  </si>
  <si>
    <t>Culture, Coordination, and Common Knowledge</t>
  </si>
  <si>
    <t>HM651 .C49 2001eb</t>
  </si>
  <si>
    <t>Cognition and culture.,Collective behavior.,Knowledge, Sociology of.,Rational choice theory.,Rites and ceremonies--Social aspects.</t>
  </si>
  <si>
    <t>Chwe, Michael Suk-Young</t>
  </si>
  <si>
    <t>Working More Creatively with Groups</t>
  </si>
  <si>
    <t>BF636.7.C76 B45 2010eb</t>
  </si>
  <si>
    <t>Group counseling.</t>
  </si>
  <si>
    <t>Benson, Jarlath F.</t>
  </si>
  <si>
    <t>Primary Care Mental Health</t>
  </si>
  <si>
    <t>RA427.9 .P75 2009eb</t>
  </si>
  <si>
    <t>Mental health services--Great Britain.,Mental illness--Treatment--Great Britain.,Primary health care--Great Britain.</t>
  </si>
  <si>
    <t>Gask, Linda.</t>
  </si>
  <si>
    <t>Careers in Health Care</t>
  </si>
  <si>
    <t>Universum USA</t>
  </si>
  <si>
    <t>MEDICAL / Physicians</t>
  </si>
  <si>
    <t>R697.A4 C37 2006eb</t>
  </si>
  <si>
    <t>Allied health personnel--Vocational guidance.,Job hunting.,Medical care--Vocational guidance.</t>
  </si>
  <si>
    <t>WetFeet (Firm)</t>
  </si>
  <si>
    <t>WetFeet Insider Guide</t>
  </si>
  <si>
    <t>Industries and Careers for Engineers</t>
  </si>
  <si>
    <t>TA157 .I4573 2008eb</t>
  </si>
  <si>
    <t>Engineering--Vocational guidance.,Engineers--Employment.</t>
  </si>
  <si>
    <t>Wetfeet Insider Guide</t>
  </si>
  <si>
    <t>Careers in Information Technology</t>
  </si>
  <si>
    <t>T58.5 .C37 2009eb</t>
  </si>
  <si>
    <t>Computer science--Vocational guidance.,Information technology--Vocational guidance.,Job hunting--United States.,Vocational guidance--United States.</t>
  </si>
  <si>
    <t>Careers in Film and Video Editing</t>
  </si>
  <si>
    <t>ART / Film &amp; Video</t>
  </si>
  <si>
    <t>TR899 C37 2009eb</t>
  </si>
  <si>
    <t>Motion picture editors--Vocational guidance.,Motion pictures--Editing.</t>
  </si>
  <si>
    <t>Careers in Civil Engineering</t>
  </si>
  <si>
    <t>TA157 .C37 2009eb</t>
  </si>
  <si>
    <t>Civil engineering--Vocational guidance.,Civil engineers--Vocational guidance.</t>
  </si>
  <si>
    <t>Career As an Audio Engineer</t>
  </si>
  <si>
    <t>TK7881.4 .C37 2009eb</t>
  </si>
  <si>
    <t>Sound engineers--Vocational guidance.,Sound recording industry--Vocational guidance.,Sound--Recording and reproducing--Vocational guidance.</t>
  </si>
  <si>
    <t>Career As a Fashion Designer</t>
  </si>
  <si>
    <t>DESIGN / Fashion &amp; Accessories</t>
  </si>
  <si>
    <t>TT507 .C37 2009eb</t>
  </si>
  <si>
    <t>Fashion designers.,Fashion design--Vocational guidance.</t>
  </si>
  <si>
    <t>First Do No Harm</t>
  </si>
  <si>
    <t>Humanitarian Intervention and the Destruction of Yugoslavia</t>
  </si>
  <si>
    <t>JZ6369 .G53 2009eb</t>
  </si>
  <si>
    <t>Humanitarian intervention--Bosnia and Hercegovina.,Humanitarian intervention--Kosovo (Republic),Humanitarian intervention--Serbia.,Kosovo War, 1998-1999--Participation, Foreign.,Yugoslav War, 1991-1995--Participation, Foreign.</t>
  </si>
  <si>
    <t>Gibbs, David N.</t>
  </si>
  <si>
    <t>Love and Globalization</t>
  </si>
  <si>
    <t>Transformations of Intimacy in the Contemporary World</t>
  </si>
  <si>
    <t>SELF-HELP / Sexual Instruction</t>
  </si>
  <si>
    <t>HQ16 .L68 2007eb</t>
  </si>
  <si>
    <t>Globalization--Social aspects--Cross-cultural studies.,Interpersonal relations--Cross-cultural studies.,Intimacy (Psychology)--Cross-cultural studies.,Love--Cross-cultural studies.,Sex--Cross-cultural studies.</t>
  </si>
  <si>
    <t>Padilla, Mark</t>
  </si>
  <si>
    <t>The Shark and the Jellyfish</t>
  </si>
  <si>
    <t>More Stories in Natural History</t>
  </si>
  <si>
    <t>QH45.2 .D377 2009eb</t>
  </si>
  <si>
    <t>Natural history.</t>
  </si>
  <si>
    <t>Daubert, Stephen.</t>
  </si>
  <si>
    <t>Engaging Young People in Civic Life</t>
  </si>
  <si>
    <t>HQ799.2.P6 E54 2009eb</t>
  </si>
  <si>
    <t>Political participation.,Youth--Political activity.</t>
  </si>
  <si>
    <t>Levine, Peter-Youniss, James.</t>
  </si>
  <si>
    <t>The Way We Vote</t>
  </si>
  <si>
    <t>The Local Dimension of American Suffrage</t>
  </si>
  <si>
    <t>JK1846 .E94 2009eb</t>
  </si>
  <si>
    <t>Election officials--United States--History.,Suffrage--United States--History.,Voting--United States--History.</t>
  </si>
  <si>
    <t>Ewald, Alec C.</t>
  </si>
  <si>
    <t>Who's Watching?</t>
  </si>
  <si>
    <t>Daily Practices of Surveillance Among Contemporary Families</t>
  </si>
  <si>
    <t>HV9469 .W53 2009eb</t>
  </si>
  <si>
    <t>Child care--United States.,Child welfare--United States.,Electronic surveillance--United States.,Families--United States.,Home detention--United States.,Parent and child--United States.</t>
  </si>
  <si>
    <t>Garey, Anita Ilta-Nelson, Margaret K.</t>
  </si>
  <si>
    <t>Bodies, Pleasures, and Passions</t>
  </si>
  <si>
    <t>Sexual Culture in Contemporary Brazil</t>
  </si>
  <si>
    <t>HQ18.B7 P37 2009eb</t>
  </si>
  <si>
    <t>Sex customs--Brazil.,Sexual behavior surveys--Brazil.,Sexual ethics--Brazil.</t>
  </si>
  <si>
    <t>Parker, Richard G.</t>
  </si>
  <si>
    <t>Radar Techniques Using Array Antennas</t>
  </si>
  <si>
    <t>Institution of Engineering &amp; Technology</t>
  </si>
  <si>
    <t>The Institution of Engineering and Technology</t>
  </si>
  <si>
    <t>TECHNOLOGY &amp; ENGINEERING / General</t>
  </si>
  <si>
    <t>TK6575 .W578 2001eb</t>
  </si>
  <si>
    <t>Antenna arrays.,Radar.</t>
  </si>
  <si>
    <t>Wirth, Wulf-Dieter.-Institution of Electrical Engineers.</t>
  </si>
  <si>
    <t>IET Radar, Sonar, Navigation and Avionics Series</t>
  </si>
  <si>
    <t>Carrier-Scale IP Networks</t>
  </si>
  <si>
    <t>Designing and Operating Internet Networks</t>
  </si>
  <si>
    <t>TK5105.55 .C364 2001eb</t>
  </si>
  <si>
    <t>Computer network protocols.,Internet.</t>
  </si>
  <si>
    <t>Willis, Peter-Institution of Electrical Engineers.</t>
  </si>
  <si>
    <t>BT Communications Technology Series</t>
  </si>
  <si>
    <t>Non-linear Predictive Control</t>
  </si>
  <si>
    <t>Theory and Practice</t>
  </si>
  <si>
    <t>TJ217.6 .N65 2001eb</t>
  </si>
  <si>
    <t>Nonlinear control theory.,Predictive control.</t>
  </si>
  <si>
    <t>Cannon, Mark-Kouvaritakis, Basil.-Institution of Electrical Engineers.</t>
  </si>
  <si>
    <t>IET Control Engineering Series</t>
  </si>
  <si>
    <t>RFIC and MMIC Design and Technology</t>
  </si>
  <si>
    <t>TK7876 .R63 2001eb</t>
  </si>
  <si>
    <t>Microwave integrated circuits--Design and construction.</t>
  </si>
  <si>
    <t>Lucyszyn, S.-Robertson, I. D.-Institution of Electrical Engineers.</t>
  </si>
  <si>
    <t>IET Circuits, Devices and Systems Series</t>
  </si>
  <si>
    <t>History of Telegraphy</t>
  </si>
  <si>
    <t>TK5115 .B43 2001eb</t>
  </si>
  <si>
    <t>Telegraph--History.</t>
  </si>
  <si>
    <t>Beauchamp, K. G.-Institution of Electrical Engineers.</t>
  </si>
  <si>
    <t>IEE History of Technology Series</t>
  </si>
  <si>
    <t>Modelling Control Systems Using IEC 61499</t>
  </si>
  <si>
    <t>Applying Function Blocks to Distributed Systems</t>
  </si>
  <si>
    <t>TJ223.P76 L488 2001eb</t>
  </si>
  <si>
    <t>Programmable controllers.</t>
  </si>
  <si>
    <t>Lewis, R. W.-Institution of Electrical Engineers.</t>
  </si>
  <si>
    <t>IEE Control Engineering Series</t>
  </si>
  <si>
    <t>Voice Over IP (Internet Protocol)</t>
  </si>
  <si>
    <t>Systems and Solutions</t>
  </si>
  <si>
    <t>TK5105.8865 .V647 2001eb</t>
  </si>
  <si>
    <t>Swale, Richard.-BTexact Technologies.-Institution of Electrical Engineers.</t>
  </si>
  <si>
    <t>BT Exact Communications Technology Series</t>
  </si>
  <si>
    <t>Future Mobile Networks</t>
  </si>
  <si>
    <t>3G and Beyond</t>
  </si>
  <si>
    <t>TK5103.2 .F88 2001eb</t>
  </si>
  <si>
    <t>Mobile communication systems.,Wireless communication systems.</t>
  </si>
  <si>
    <t>Clapton, Alan.</t>
  </si>
  <si>
    <t>Intelligent Networks</t>
  </si>
  <si>
    <t>Principles and Applications</t>
  </si>
  <si>
    <t>TK5105.84 .A53 2002eb</t>
  </si>
  <si>
    <t>Intelligent agents (Computer software),Telecommunication systems.,Value-added networks (Computer networks)</t>
  </si>
  <si>
    <t>Anderson, J. R.-Institution of Electrical Engineers.</t>
  </si>
  <si>
    <t>IEE Telecommunications Series</t>
  </si>
  <si>
    <t>Electrical Steels for Rotating Machines</t>
  </si>
  <si>
    <t>TK454.4.S7 B43 2002eb</t>
  </si>
  <si>
    <t>Electric machinery.,Steel, Electrical.</t>
  </si>
  <si>
    <t>Beckley, P.-Institution of Electrical Engineers.</t>
  </si>
  <si>
    <t>IEE Power and Energy Series</t>
  </si>
  <si>
    <t>Radio Man</t>
  </si>
  <si>
    <t>The Remarkable Rise and Fall of C.O. Stanley</t>
  </si>
  <si>
    <t>TK6545.S75 F73 2002eb</t>
  </si>
  <si>
    <t>Radio--Great Britain--Biography.,Radio--Great Britain--History.</t>
  </si>
  <si>
    <t>Frankland, Mark-Bussey, Gordon.-Stanley Foundation.-Institution of Electrical Engineers.</t>
  </si>
  <si>
    <t>John Logie Baird</t>
  </si>
  <si>
    <t>Television Pioneer</t>
  </si>
  <si>
    <t>TK6635.B3 .B87 2000eb</t>
  </si>
  <si>
    <t>Inventors--Scotland--Biography.,Television--Great Britain--Biography.,Television--History.</t>
  </si>
  <si>
    <t>Burns, R. W.</t>
  </si>
  <si>
    <t>IEEE History of Technology Series</t>
  </si>
  <si>
    <t>Ridge Waveguides and Passive Microwave Components</t>
  </si>
  <si>
    <t>TK7872.F5 H3927 2000eb</t>
  </si>
  <si>
    <t>Electric filters, Passive.,Microwave circuits.,Microwave filters.</t>
  </si>
  <si>
    <t>Helszajn, J.-Institution of Electrical Engineers.</t>
  </si>
  <si>
    <t>IEE Electromagnetic Waves Series</t>
  </si>
  <si>
    <t>Design of High Frequency Integrated Analogue Filters</t>
  </si>
  <si>
    <t>TK7872.F5 D47 2002eb</t>
  </si>
  <si>
    <t>Electric filters--Design and construction--Mathematics.,Electric filters--Design.</t>
  </si>
  <si>
    <t>Sun, Yichuang.-Institution of Electrical Engineers.</t>
  </si>
  <si>
    <t>IEE Circuits, Devices and Systems Series</t>
  </si>
  <si>
    <t>Selected Topics in Advanced Solid State and Fibre Optic Sensors</t>
  </si>
  <si>
    <t>TA1815 .S45 2000eb</t>
  </si>
  <si>
    <t>Detectors.,Optical fiber detectors.,Solid state electronics.</t>
  </si>
  <si>
    <t>Vaezi-Nejad, S. M.-Institution of Electrical Engineers.</t>
  </si>
  <si>
    <t>Satellite Communication Systems</t>
  </si>
  <si>
    <t>TK5104 .S3627 1999eb</t>
  </si>
  <si>
    <t>Artificial satellites in telecommunication.</t>
  </si>
  <si>
    <t>Evans, B. G.-Institution of Electrical Engineers.</t>
  </si>
  <si>
    <t>Voltage Quality in Electrical Power Systems</t>
  </si>
  <si>
    <t>TK2851 .S53 2001eb</t>
  </si>
  <si>
    <t>Electric power system stability.,Electric power systems--Quality control.,Voltage regulators.</t>
  </si>
  <si>
    <t>Schlabbach, J.-Stephanblome, T.-Blume, D.-Institution of Electrical Engineers.</t>
  </si>
  <si>
    <t>Overvoltage Protection of Low Voltage Systems</t>
  </si>
  <si>
    <t>TK7870 .H32413 2000eb</t>
  </si>
  <si>
    <t>Electric apparatus and appliances--Protection.,Electric power systems--Protection.,Low voltage systems--Protection.,Overvoltage.</t>
  </si>
  <si>
    <t>Hasse, Peter.-Institution of Electrical Engineers.</t>
  </si>
  <si>
    <t>Embedded Generation</t>
  </si>
  <si>
    <t>TK1001 .E63 2000eb</t>
  </si>
  <si>
    <t>Jenkins, Nicholas-Institution of Electrical Engineers.</t>
  </si>
  <si>
    <t>Theory and Design of Microwave Filters</t>
  </si>
  <si>
    <t>TK7872.F5 H86 2001eb</t>
  </si>
  <si>
    <t>Microwave filters.</t>
  </si>
  <si>
    <t>Hunter, I. C.-Institution of Electrical Engineers.</t>
  </si>
  <si>
    <t>Stepping Motors</t>
  </si>
  <si>
    <t>A Guide to Theory and Practice</t>
  </si>
  <si>
    <t>TK2785 A33 2002eb</t>
  </si>
  <si>
    <t>Stepping motors.</t>
  </si>
  <si>
    <t>Acarnley, P. P.-Institution of Electrical Engineers.</t>
  </si>
  <si>
    <t>Control Engineering Series</t>
  </si>
  <si>
    <t>People in Control</t>
  </si>
  <si>
    <t>Human Factors in Control Room Design</t>
  </si>
  <si>
    <t>TA166 .P43 2001eb</t>
  </si>
  <si>
    <t>Control rooms--Design and construction.,Human engineering.</t>
  </si>
  <si>
    <t>Bransby, Matthew.-Noyes, Janet M.</t>
  </si>
  <si>
    <t>Internet and Wireless Security</t>
  </si>
  <si>
    <t>TK5105.59 .I544 2002eb</t>
  </si>
  <si>
    <t>Computer networks--Security measures.,Wireless communication systems--Security measures.</t>
  </si>
  <si>
    <t>Regnault, John.-Temple, Robert-BTexact Technologies.-Institution of Electrical Engineers.</t>
  </si>
  <si>
    <t>BTexact Communications Technology Series</t>
  </si>
  <si>
    <t>Angina</t>
  </si>
  <si>
    <t>An Atlas of Investigation and Management</t>
  </si>
  <si>
    <t>Clinical Publishing Oxford</t>
  </si>
  <si>
    <t>Clinical Publishing</t>
  </si>
  <si>
    <t>RC685.A6 S3 2007eb</t>
  </si>
  <si>
    <t>Angina pectoris.</t>
  </si>
  <si>
    <t>Sarembock, Ian J.-El-Ahdab, Fadi M.-Isbell, David C.-Ragosta, Michael.</t>
  </si>
  <si>
    <t>Scrappy Information Security</t>
  </si>
  <si>
    <t>Happy About</t>
  </si>
  <si>
    <t>QA76.9.A25 S447 2009eb</t>
  </si>
  <si>
    <t>Computer networks--Security measures.,Computer security.,Computers--Access control.,Internet--Security measures.</t>
  </si>
  <si>
    <t>Seese, Michael</t>
  </si>
  <si>
    <t>Scrappy About Series</t>
  </si>
  <si>
    <t>Mass Customization</t>
  </si>
  <si>
    <t>An Enterprise-wide Business Strategy: How Build to Order, Assemble to Order, Configure to Order, Make to Order, and Engineer to Order Manufacturers Increase Profits and Better Satisfy Customers</t>
  </si>
  <si>
    <t>TECHNOLOGY &amp; ENGINEERING / Industrial Engineering</t>
  </si>
  <si>
    <t>TS183 .G37 2009eb</t>
  </si>
  <si>
    <t>Mass customization.</t>
  </si>
  <si>
    <t>Gardner, David J.</t>
  </si>
  <si>
    <t>Viruses, Plagues, and History</t>
  </si>
  <si>
    <t>Oxford University Press, USA</t>
  </si>
  <si>
    <t>RC114.5 .O37 2000eb</t>
  </si>
  <si>
    <t>Virus diseases--History.</t>
  </si>
  <si>
    <t>Oldstone, Michael B. A.</t>
  </si>
  <si>
    <t>Multidetector CT in Neuroimaging</t>
  </si>
  <si>
    <t>An Atlas and Practical Guide</t>
  </si>
  <si>
    <t>RC386.6.T64 M85 2008eb</t>
  </si>
  <si>
    <t>Central nervous system--Diseases--Diagnosis--Atlases.,Central nervous system--Tomography--Atlases.,Nervous system--Imaging--Atlases.</t>
  </si>
  <si>
    <t>Teasdale, Evelyn.-Aitken, Susan.</t>
  </si>
  <si>
    <t>Multiple Intelligences in the Classroom</t>
  </si>
  <si>
    <t>Association for Supervision &amp; Curriculum Development</t>
  </si>
  <si>
    <t>Assoc. for Supervision and Curriculum Development</t>
  </si>
  <si>
    <t>EDUCATION / Educational Psychology</t>
  </si>
  <si>
    <t>LB1025.3 .A76 2009eb</t>
  </si>
  <si>
    <t>Cognitive styles.,Learning.,Multiple intelligences.,Teaching.</t>
  </si>
  <si>
    <t>Armstrong, Thomas.-Association for Supervision and Curriculum Development.</t>
  </si>
  <si>
    <t>Pharmaceutical Microbiology</t>
  </si>
  <si>
    <t>QR46.5 .K37 2008eb</t>
  </si>
  <si>
    <t>Pharmaceutical microbiology.</t>
  </si>
  <si>
    <t>Kar, Ashutosh.</t>
  </si>
  <si>
    <t>Dresden Teamwork Concept for Medical High Risk Organizations</t>
  </si>
  <si>
    <t>MEDICAL / Hospital Administration &amp; Care</t>
  </si>
  <si>
    <t>RA971.38 .H47 2009eb</t>
  </si>
  <si>
    <t>Health care teams.,Hospitals--Administration.,Hospitals--Quality control.,Hospitals--Risk management.</t>
  </si>
  <si>
    <t>Heller, Axel R.</t>
  </si>
  <si>
    <t>Poststroke Dementia and Imaging</t>
  </si>
  <si>
    <t>RC388.5 .P64 2009eb</t>
  </si>
  <si>
    <t>Vascular dementia.,Vascular dementia--Imaging.</t>
  </si>
  <si>
    <t>Mok, V.</t>
  </si>
  <si>
    <t>Complementary Approaches for Using Ecotoxicity Data in Soil Pollution Evaluation</t>
  </si>
  <si>
    <t>TD878 .F47 2009eb</t>
  </si>
  <si>
    <t>Soil pollution.</t>
  </si>
  <si>
    <t>Fernandez, M. D.-Tarazona, Jose V.</t>
  </si>
  <si>
    <t>DNA Methylation in Plants</t>
  </si>
  <si>
    <t>QK981.3 .V36 2008eb</t>
  </si>
  <si>
    <t>DNA--Methylation.,Plant biochemical genetics.</t>
  </si>
  <si>
    <t>Vaniï¸ uï¸¡shin, B. F.-Ashapkin, Vasili V.</t>
  </si>
  <si>
    <t>Modelling Subcooled Boiling Flows</t>
  </si>
  <si>
    <t>TJ260 .Y46 2009eb</t>
  </si>
  <si>
    <t>Fluid dynamics.,Heat--Transmission--Mathematical models.</t>
  </si>
  <si>
    <t>Yeoh, Guan Heng.-Tu, Jiyuan.</t>
  </si>
  <si>
    <t>Mathematical Modeling Approaches for Optimization of Chemical Processes</t>
  </si>
  <si>
    <t>TP155.7 .M38 2009eb</t>
  </si>
  <si>
    <t>Chemical processes.,Mathematical optimization.</t>
  </si>
  <si>
    <t>Corsano, Gabriela.</t>
  </si>
  <si>
    <t>Biosorption and Bioaccumulation in Practice</t>
  </si>
  <si>
    <t>TD192.5 .C56 2009eb</t>
  </si>
  <si>
    <t>Bioremediation.,Metal ions--Absorption and adsorption.,Metal ions--Bioaccumulation.,Pollutants--Absorption and adsorption.,Pollutants--Bioaccumulation.,Pollution.</t>
  </si>
  <si>
    <t>Chojnacka, Katarzyna.</t>
  </si>
  <si>
    <t>Air Pollution in India and Its Impact on the Health of Different Income Groups</t>
  </si>
  <si>
    <t>RA576.7.I4 M85 2009eb</t>
  </si>
  <si>
    <t>Air--Pollution--Health aspects--India.,Air--Pollution--Health aspects--India--Kolkata.,Environmental health--Economic aspects--India.</t>
  </si>
  <si>
    <t>Mukhopadhyay, Kakali.</t>
  </si>
  <si>
    <t>Synaptic Plasticity</t>
  </si>
  <si>
    <t>QP363.3 .S966 2009eb</t>
  </si>
  <si>
    <t>Peters, Felix J.-Kaiser, Tim F.</t>
  </si>
  <si>
    <t>Inside the Ropes</t>
  </si>
  <si>
    <t>McBooks Press</t>
  </si>
  <si>
    <t>GV1132.M45 M47 2006eb</t>
  </si>
  <si>
    <t>Boxing referees--United States--Biography.</t>
  </si>
  <si>
    <t>Mercante, Arthur-Guarnieri, Phil</t>
  </si>
  <si>
    <t>The Handy Weather Answer Book</t>
  </si>
  <si>
    <t>QC870 H55 2009eb</t>
  </si>
  <si>
    <t>Climatology--Miscellanea.,Meteorology--Miscellanea.,Weather--Miscellanea.</t>
  </si>
  <si>
    <t>Hile, Kevin.</t>
  </si>
  <si>
    <t>Loan Phonology</t>
  </si>
  <si>
    <t>P217.52 .L63 2009</t>
  </si>
  <si>
    <t>Grammar, Comparative and general--Phonology, Comparative.,Language and languages--Foreign words and phrases.</t>
  </si>
  <si>
    <t>Calabrese, Andrea-Wetzels, Leo.</t>
  </si>
  <si>
    <t>Amsterdam Studies in the Theory and History of Linguistic Science. Series IV, Current Issues in Linguistic Theory</t>
  </si>
  <si>
    <t>Plasticity of Metals and Alloys</t>
  </si>
  <si>
    <t>TA418.14 .P87 2009eb</t>
  </si>
  <si>
    <t>Materials at low temperatures.,Plasticity.</t>
  </si>
  <si>
    <t>Pustovalov, V. V.</t>
  </si>
  <si>
    <t>Micro-CHP Power Generation for Residential and Small Commercial Buildings</t>
  </si>
  <si>
    <t>TK4035.M37 C53 2009eb</t>
  </si>
  <si>
    <t>Buildings--Electric equipment.</t>
  </si>
  <si>
    <t>Chamra, Louay M.-Mago, Pedro J.</t>
  </si>
  <si>
    <t>Mental Health of College Students</t>
  </si>
  <si>
    <t>RC451.4.S7 M435 2009eb</t>
  </si>
  <si>
    <t>College students--Mental health.</t>
  </si>
  <si>
    <t>Morrow, Katherine N.</t>
  </si>
  <si>
    <t>Estrogen Versus Cancer</t>
  </si>
  <si>
    <t>RC280.M6 .S83 2009eb</t>
  </si>
  <si>
    <t>Estrogen--Physiological effect.,Mouth--Cancer--Endocrine aspects.,Mouth--Cancer--Etiology.,Mouth--Cancer--Risk factors.</t>
  </si>
  <si>
    <t>Suba, Zsuzsanna.</t>
  </si>
  <si>
    <t>Careers in Nursing Specialties</t>
  </si>
  <si>
    <t>Dematology and Vascular</t>
  </si>
  <si>
    <t>RL125 .C37 2009eb</t>
  </si>
  <si>
    <t>Blood-vessels--Diseases--Nursing--Vocational guidance.,Dermatologic nursing--Vocational guidance.,Medical personnel--Vocational guidance.,Nurses--Vocational guidance.,Nursing--Vocational guidance.</t>
  </si>
  <si>
    <t>A Career As an Epidemiologist</t>
  </si>
  <si>
    <t>Public Health Specialists Searching for the Causes and Cures of Diseases and Epidemics</t>
  </si>
  <si>
    <t>RA651 .C37 2009eb</t>
  </si>
  <si>
    <t>Epidemiologists--Vocational guidance.,Epidemiology--Vocational guidance.,Medical scientists--Vocational guidance.,Public health personnel--Vocational guidance.,Public health--Vocational guidance.</t>
  </si>
  <si>
    <t>A Career As a Urologist</t>
  </si>
  <si>
    <t>Diverse Surgical Specialty in High Demand</t>
  </si>
  <si>
    <t>RC871 .C37 2009eb</t>
  </si>
  <si>
    <t>Medical personnel--Vocational guidance.,Physicians--Vocational guidance.,Urologists--Vocational guidance.</t>
  </si>
  <si>
    <t>A Rope of Vines</t>
  </si>
  <si>
    <t>Journal From a Greek Island</t>
  </si>
  <si>
    <t>Parthian</t>
  </si>
  <si>
    <t>DF901.H9 C43 2009eb</t>
  </si>
  <si>
    <t>Women painters--Greece--Hydra Island.,Women painters--Wales.</t>
  </si>
  <si>
    <t>Chamberlain, Brenda.-Smith, Dai</t>
  </si>
  <si>
    <t>Library of Wales</t>
  </si>
  <si>
    <t>Emotional Intelligence at Work</t>
  </si>
  <si>
    <t>A Professional Guide</t>
  </si>
  <si>
    <t>Sage Publications India Pvt, Ltd -- eBooks</t>
  </si>
  <si>
    <t>Sage Publications Pvt. Ltd</t>
  </si>
  <si>
    <t>HF5548.8 .S526 2006eb</t>
  </si>
  <si>
    <t>Emotional intelligence.,Psychology, Industrial.</t>
  </si>
  <si>
    <t>Singh, Dalip</t>
  </si>
  <si>
    <t>Response Books</t>
  </si>
  <si>
    <t>Mentoring</t>
  </si>
  <si>
    <t>A Practitioners Guide to Touching Lives</t>
  </si>
  <si>
    <t>HF5385 .G76 2006eb</t>
  </si>
  <si>
    <t>Mentoring in business--Handbooks, manuals, etc.,Mentoring in the professions--Handbooks, manuals, etc.</t>
  </si>
  <si>
    <t>Guptan, Sunil Unny.</t>
  </si>
  <si>
    <t>Causes and Effects of Heavy Metal Pollution</t>
  </si>
  <si>
    <t>TD196.M4 C38 2008eb</t>
  </si>
  <si>
    <t>Heavy metals--Environmental aspects.</t>
  </si>
  <si>
    <t>SaÌnchez, Mikel L.</t>
  </si>
  <si>
    <t>Handbook of Green Tea and Health Research</t>
  </si>
  <si>
    <t>RM251 .H36 2009eb</t>
  </si>
  <si>
    <t>Green tea--Health aspects.</t>
  </si>
  <si>
    <t>McKinley, Helen.-Jamieson, Mark.</t>
  </si>
  <si>
    <t>Her Oxford</t>
  </si>
  <si>
    <t>LF516 .B38 2008eb</t>
  </si>
  <si>
    <t>Women--Education--Great Britain.</t>
  </si>
  <si>
    <t>Batson, Judy G.</t>
  </si>
  <si>
    <t>Lazy Virtues</t>
  </si>
  <si>
    <t>Teaching Writing in the Age of Wikipedia</t>
  </si>
  <si>
    <t>PE1404 .C87 2009eb</t>
  </si>
  <si>
    <t>Academic writing--Study and teaching (Higher),English language--Rhetoric--Study and teaching (Higher),Internet in education.,Internet publishing.</t>
  </si>
  <si>
    <t>Cummings, Robert E.</t>
  </si>
  <si>
    <t>Bodies of Knowledge</t>
  </si>
  <si>
    <t>The Medicalization of Reproduction in Greece</t>
  </si>
  <si>
    <t>QP251 .G357 2008eb</t>
  </si>
  <si>
    <t>Birth control--Greece--Rhodes (Island)--History--20th century.,Childbirth--Greece--Rhodes (Island)--History--20th century.,Ethnology--Greece--Rhodes (Island)--History--20th century.,Human reproduction--Greece--Rhodes (Island)--History--20th century.,Women--Health and hygiene--Greece--Rhodes (Island)--History--20th century.</t>
  </si>
  <si>
    <t>Georges, Eugenia.</t>
  </si>
  <si>
    <t>Mindreadings: Literature and Psychiatry</t>
  </si>
  <si>
    <t>RC454.4 .M56 2009eb</t>
  </si>
  <si>
    <t>Literature.,Psychiatry.</t>
  </si>
  <si>
    <t>Adolf Harnack: Marcion</t>
  </si>
  <si>
    <t>Der moderne GlÃ¤ubige des 2. Jahrhunderts, der erste Reformator. Die Dorpater Preisschrift (1870). Kritische Edition des handschriftlichen Exemplars</t>
  </si>
  <si>
    <t>RELIGION / Christian Theology / Ecclesiology</t>
  </si>
  <si>
    <t>BT1415 .H32 2003eb</t>
  </si>
  <si>
    <t>Church history--Primitive and early church, ca. 30-600.</t>
  </si>
  <si>
    <t>Harnack, Adolf von-Steck, Friedemann.-Markschies, Christoph.</t>
  </si>
  <si>
    <t>Texte und Untersuchungen zur Geschichte der altchristlichen Literatur</t>
  </si>
  <si>
    <t>Kierkegaard und Wittgenstein</t>
  </si>
  <si>
    <t>"HineintÃ¤uschen in das Wahre"</t>
  </si>
  <si>
    <t>B3376.W564 N535 2003eb</t>
  </si>
  <si>
    <t>Nientied, Mariele.</t>
  </si>
  <si>
    <t>Kierkegaard studies. Monograph series</t>
  </si>
  <si>
    <t>An Introduction to Abstract Algebra</t>
  </si>
  <si>
    <t>QA162 .R63 2003eb</t>
  </si>
  <si>
    <t>Algebra, Abstract.</t>
  </si>
  <si>
    <t>Robinson, Derek John Scott.</t>
  </si>
  <si>
    <t>De Gruyter Textbook</t>
  </si>
  <si>
    <t>Knots</t>
  </si>
  <si>
    <t>MATHEMATICS / Geometry / General</t>
  </si>
  <si>
    <t>QA612.2 .B87 2003eb</t>
  </si>
  <si>
    <t>Burde, Gerhard-Zieschang, Heiner.</t>
  </si>
  <si>
    <t>De Gruyter Studies in Mathematics</t>
  </si>
  <si>
    <t>EinfÃ¼hrung in die Kombinatorik</t>
  </si>
  <si>
    <t>QA164 .J33 2004eb</t>
  </si>
  <si>
    <t>Combinatorial analysis.,Mathematical analysis.</t>
  </si>
  <si>
    <t>Jacobs, Konrad.-Jungnickel, Dieter.</t>
  </si>
  <si>
    <t>De Gruyter Lehrbuch</t>
  </si>
  <si>
    <t>Kunst, Wissenschaft und Geschichte bei Nietzsche</t>
  </si>
  <si>
    <t>Quellenkritische Untersuchungen</t>
  </si>
  <si>
    <t>B3317 .V46 2003eb</t>
  </si>
  <si>
    <t>Philosophy, German--19th century.</t>
  </si>
  <si>
    <t>Venturelli, Aldo.-Richter, Silke.</t>
  </si>
  <si>
    <t>Monographien und Texte zur Nietzsche-Forschung</t>
  </si>
  <si>
    <t>Basic Environmental Engineering</t>
  </si>
  <si>
    <t>(as Per the New Syllabus of R.T.U. And Other Universities)</t>
  </si>
  <si>
    <t>TD145 .G38 2008eb</t>
  </si>
  <si>
    <t>Environmental engineering.,Pollution.,Sanitary engineering.,Water--Purification.</t>
  </si>
  <si>
    <t>Gaur, R. C.</t>
  </si>
  <si>
    <t>Dyes and Pigments</t>
  </si>
  <si>
    <t>TP910 .D96 2009eb</t>
  </si>
  <si>
    <t>Dyes and dyeing.,Pigments.</t>
  </si>
  <si>
    <t>Lang, Arnold R.</t>
  </si>
  <si>
    <t>Real Miracles, Divine Intervention, and Feats of Incredible Survival</t>
  </si>
  <si>
    <t>BL487 .S74 2009eb</t>
  </si>
  <si>
    <t>Miracles.</t>
  </si>
  <si>
    <t>Steiger, Brad.-Steiger, Sherry Hansen.</t>
  </si>
  <si>
    <t>Genetic Diversity &amp; Variability of Hepatitis B Virus (HBV)</t>
  </si>
  <si>
    <t>QR201.H46 M38 2009eb</t>
  </si>
  <si>
    <t>Hepatitis B virus--Genetics.</t>
  </si>
  <si>
    <t>Mathet, VeroÌnica L.-Cuestas, MariÌa L.</t>
  </si>
  <si>
    <t>Multi-component Molecular Orbital Theory</t>
  </si>
  <si>
    <t>QD461 .U33 2009eb</t>
  </si>
  <si>
    <t>Molecular orbitals.</t>
  </si>
  <si>
    <t>Udagawa, Taro.-Tachikawa, Masanori.</t>
  </si>
  <si>
    <t>Modeling of Photonic Devices</t>
  </si>
  <si>
    <t>TA1520 .M63 2009eb</t>
  </si>
  <si>
    <t>Optoelectronic devices.,Photonics.</t>
  </si>
  <si>
    <t>Passaro, Vittorio M. N.</t>
  </si>
  <si>
    <t>Markov Models with Covariate Dependence for Repeated Measures</t>
  </si>
  <si>
    <t>MATHEMATICS / Probability &amp; Statistics / Stochastic Processes</t>
  </si>
  <si>
    <t>QA278 .I75 2009eb</t>
  </si>
  <si>
    <t>Markov processes.,Multivariate analysis.</t>
  </si>
  <si>
    <t>Islam, M. Ataharul-Huda, Shahariar.-Chowdhury, Rafiqul Islam</t>
  </si>
  <si>
    <t>Hazardous Organic Pollutants in Colored Wastewaters</t>
  </si>
  <si>
    <t>TD1030 .K67 2009eb</t>
  </si>
  <si>
    <t>Hazardous wastes.</t>
  </si>
  <si>
    <t>Koprivanac, Natalija.-Kusic, Hrvoje.</t>
  </si>
  <si>
    <t>Methods of Bosonic and Fermionic Path Integrals Representations</t>
  </si>
  <si>
    <t>Continuum Random Geometry in Quantum Field Theory</t>
  </si>
  <si>
    <t>QC174.17.P27 B679 2009eb</t>
  </si>
  <si>
    <t>Integral representations.,Path integrals.</t>
  </si>
  <si>
    <t>Botelho, Luiz C. L.</t>
  </si>
  <si>
    <t>Lake Pollution Research Progress</t>
  </si>
  <si>
    <t>TD424.5 .L35 2009eb</t>
  </si>
  <si>
    <t>Lakes--Environmental conditions--Research.,Water--Pollution--Research.</t>
  </si>
  <si>
    <t>Miranda, Franko R.-Bernard, Luc M.</t>
  </si>
  <si>
    <t>Foldases Catalyzing the Formation and Isomerization of Disulfide Bonds in Proteins</t>
  </si>
  <si>
    <t>QP616.P76 N34 2009eb</t>
  </si>
  <si>
    <t>Protein disulfide isomerase.,Protein folding.</t>
  </si>
  <si>
    <t>Nagradova, N. K.</t>
  </si>
  <si>
    <t>Cluster Model Interrelation with Modern Physical Concepts</t>
  </si>
  <si>
    <t>QC173.4.P65 K69 2009eb</t>
  </si>
  <si>
    <t>Polymers--Structure.</t>
  </si>
  <si>
    <t>Kozlov, G. V.-Zaikov, GennadiiÌ† Efremovich.</t>
  </si>
  <si>
    <t>Cell, Gene, and Molecular Therapy</t>
  </si>
  <si>
    <t>New Concepts</t>
  </si>
  <si>
    <t>RM111 .V57 2009eb</t>
  </si>
  <si>
    <t>Cellular therapy.,Gene therapy.,Immunotherapy.,Therapeutics, Experimental.</t>
  </si>
  <si>
    <t>Cell Differentiation of Neoplastic Cells Originating in the Oral and Craniofacial Regions</t>
  </si>
  <si>
    <t>RC280.M6 K39 2009eb</t>
  </si>
  <si>
    <t>Head--Cancer--Histopathology.,Mouth--Cancer--Histopathology.,Odontogenic tumors--Histopathology.</t>
  </si>
  <si>
    <t>Kawakami, Toshiyuki.-Nagatsuka, Hitoshi.</t>
  </si>
  <si>
    <t>Caffeine and Health Research</t>
  </si>
  <si>
    <t>QP801.C24 C333 2009eb</t>
  </si>
  <si>
    <t>Caffeine--Health aspects.</t>
  </si>
  <si>
    <t>Chambers, Kenneth P.</t>
  </si>
  <si>
    <t>Controlled Structures with Electromechanical and Fiber-optical Sensors</t>
  </si>
  <si>
    <t>TA654.9 .M465 2009eb</t>
  </si>
  <si>
    <t>Electromechanical devices.,Flexible structures.,Optical fiber detectors.,Smart structures.,Structural control (Engineering)--Equipment and supplies.</t>
  </si>
  <si>
    <t>Melashvili, Yuri.-Lagundaridze, Georgi.-Tsikarishvili, Malkhaz.</t>
  </si>
  <si>
    <t>Cell Colonization Control by Physical and Chemical Modification of Materials</t>
  </si>
  <si>
    <t>QH623 .B34 2009eb</t>
  </si>
  <si>
    <t>Biomedical materials--Biocompatibility.,Cell adhesion.,Cells--Growth--Regulation.</t>
  </si>
  <si>
    <t>BaeÌ€aÌkovaÌ, L.-SÌŒvorcÌŒiÌk, V.</t>
  </si>
  <si>
    <t>Causes and Risks for Autism</t>
  </si>
  <si>
    <t>RC553.A88 C38 2009eb</t>
  </si>
  <si>
    <t>Autism.</t>
  </si>
  <si>
    <t>Giordano, Alessia C.-Lombardi, Viola A.</t>
  </si>
  <si>
    <t>Cerebral Blood Flow Regulation</t>
  </si>
  <si>
    <t>QP108.5.C4 M58 2009eb</t>
  </si>
  <si>
    <t>Cerebral circulation--Regulation.</t>
  </si>
  <si>
    <t>Mitagvariia, N. P.-Bicher, Haim I.</t>
  </si>
  <si>
    <t>Uses of Industrial Minerals, Rocks and Freshwater</t>
  </si>
  <si>
    <t>TN799.5 .C4885 2009eb</t>
  </si>
  <si>
    <t>Industrial minerals.</t>
  </si>
  <si>
    <t>Chatterjee, Kaulir Kisor.</t>
  </si>
  <si>
    <t>Therapeutic Potential of Differentiation in Cancer and Normal Stem Cells</t>
  </si>
  <si>
    <t>QH588.S83 T44 2009eb</t>
  </si>
  <si>
    <t>Embryonic stem cells.,Stem cells.</t>
  </si>
  <si>
    <t>Marcha, Juan Antonio.</t>
  </si>
  <si>
    <t>Multifractal Analysis of Unstable Plastic Flow</t>
  </si>
  <si>
    <t>SCIENCE / Mechanics / Solids</t>
  </si>
  <si>
    <t>TA357.5.U57 L43 2009eb</t>
  </si>
  <si>
    <t>Multifractals.,Plasticity.,Rheology.,Unsteady flow (Fluid dynamics)</t>
  </si>
  <si>
    <t>Lebyodkin, M. A.-Lebedkina, T. A.-Jacques, A.</t>
  </si>
  <si>
    <t>Monomers, Oligomers, Polymers, Composites and Nanocomposites Research</t>
  </si>
  <si>
    <t>Synthesis, Properties and Applications</t>
  </si>
  <si>
    <t>QD381 .M636 2009eb</t>
  </si>
  <si>
    <t>Monomers.,Nanostructured materials.,Polymeric composites.,Polymers.</t>
  </si>
  <si>
    <t>Pielichowski, Jan.-Zaikov, GennadiiÌ† Efremovich.-Pethrick, R. A.</t>
  </si>
  <si>
    <t>Schizoaffective Disorders</t>
  </si>
  <si>
    <t>International Perspectives on Understanding, Intervention and Rehabilitation</t>
  </si>
  <si>
    <t>RC553.S34 S28 2009eb</t>
  </si>
  <si>
    <t>Schizoaffective disorders.</t>
  </si>
  <si>
    <t>Yip, Kam-Shing.</t>
  </si>
  <si>
    <t>Nanocrystalline Apatite-based Biomaterials</t>
  </si>
  <si>
    <t>RD755.6 .N36 2009eb</t>
  </si>
  <si>
    <t>Apatite.,Bone substitutes.,Nanocrystals.</t>
  </si>
  <si>
    <t>Eichert, D.</t>
  </si>
  <si>
    <t>Theoretical Analysis of High Fuel Utilizing Solid Oxide Fuel Cells</t>
  </si>
  <si>
    <t>TK2931 .N443 2009eb</t>
  </si>
  <si>
    <t>Solid oxide fuel cells.</t>
  </si>
  <si>
    <t>Nehter, Pedro.</t>
  </si>
  <si>
    <t>Support Water-management Decision-making Under Climate Change Conditions</t>
  </si>
  <si>
    <t>TECHNOLOGY &amp; ENGINEERING / Agriculture / Irrigation</t>
  </si>
  <si>
    <t>TC812 .S83 2009eb</t>
  </si>
  <si>
    <t>Climatic changes.,Irrigation--Management.</t>
  </si>
  <si>
    <t>Suastegui, Angel Utset.</t>
  </si>
  <si>
    <t>Aboveground Oil Storage Tanks</t>
  </si>
  <si>
    <t>TP692.5 .N67 2009eb</t>
  </si>
  <si>
    <t>Oil spills--Management.,Oil spills--Prevention.,Oil storage tanks--Safety measures.</t>
  </si>
  <si>
    <t>Norton, Terrance I.</t>
  </si>
  <si>
    <t>Another View of the Brain System</t>
  </si>
  <si>
    <t>QP355.2 .K86 2009eb</t>
  </si>
  <si>
    <t>Nervous system.</t>
  </si>
  <si>
    <t>Kumai, Toshifumi.-Yoshiyuki, Shibukawa.</t>
  </si>
  <si>
    <t>Advanced Ta-Based Diffusion Barriers for Cu Interconnects</t>
  </si>
  <si>
    <t>TK7874.53 .H83 2009eb</t>
  </si>
  <si>
    <t>Electrodiffusion.,Integrated circuits.,Interconnects (Integrated circuit technology)</t>
  </si>
  <si>
    <t>HuÌˆbner, ReneÌ.</t>
  </si>
  <si>
    <t>Absolute &amp; Chemical Electronegativity &amp; Hardness</t>
  </si>
  <si>
    <t>QD461 .P98 2009eb</t>
  </si>
  <si>
    <t>Acid-base chemistry.,Electronegativity.</t>
  </si>
  <si>
    <t>Coastal Groundwater System Changes in Response to Large-scale Land Reclamation</t>
  </si>
  <si>
    <t>TD428.L35 G86 2009eb</t>
  </si>
  <si>
    <t>Coastal zone management.,Estuarine hydrology.,Groundwater flow.,Groundwater--Quality.,Reclamation of land--Environmental aspects.,Saltwater encroachment.</t>
  </si>
  <si>
    <t>Guo, Haipeng.-Jiao, Jiu J.</t>
  </si>
  <si>
    <t>Quantum Dots</t>
  </si>
  <si>
    <t>QC611.6.Q35 K56 2009eb</t>
  </si>
  <si>
    <t>Quantum dots.,Semiconductors.</t>
  </si>
  <si>
    <t>Knoss, Randolf W.</t>
  </si>
  <si>
    <t>Porous Media</t>
  </si>
  <si>
    <t>Heat and Mass Transfer, Transport and Mechanics</t>
  </si>
  <si>
    <t>TA418.9.P6 P68 2009eb</t>
  </si>
  <si>
    <t>Diffusion--Mathematical models.,Heat--Transmission--Mathematical models.,Porous materials--Industrial applications.,Porous materials--Mechanical properties.</t>
  </si>
  <si>
    <t>Camacho, AndreÌs Felipe.-Acosta, JoseÌ Luis.</t>
  </si>
  <si>
    <t>Progress in Nonlinear Analysis Research</t>
  </si>
  <si>
    <t>QA427 .P76 2009eb</t>
  </si>
  <si>
    <t>Mathematical analysis.,Nonlinear theories.</t>
  </si>
  <si>
    <t>Hoffmann, Erik T.</t>
  </si>
  <si>
    <t>New Insights Into Functional Mapping in Cerebral Tumor Surgery</t>
  </si>
  <si>
    <t>RD663 .D84 2009eb</t>
  </si>
  <si>
    <t>Brain mapping.,Brain--Tumors--Surgery.</t>
  </si>
  <si>
    <t>Duffau, Hugues.</t>
  </si>
  <si>
    <t>Polyfunctional Stabilizers of Polymers</t>
  </si>
  <si>
    <t>TP1142 .P64 2009eb</t>
  </si>
  <si>
    <t>Polymers--Additives.,Stabilizing agents--Synthesis.</t>
  </si>
  <si>
    <t>Mukmeneva, N. A.</t>
  </si>
  <si>
    <t>Pathophysiology of Nonalcoholic Steatohepatitis</t>
  </si>
  <si>
    <t>RC848.F3 B37 2009eb</t>
  </si>
  <si>
    <t>Fatty liver.,Liver--Diseases.</t>
  </si>
  <si>
    <t>Basaranoglu, Metin.</t>
  </si>
  <si>
    <t>Distributed Energy Systems</t>
  </si>
  <si>
    <t>TK1006 .O1 2009eb</t>
  </si>
  <si>
    <t>Distributed generation of electric power--Mathematical models.,Fuel cells.</t>
  </si>
  <si>
    <t>Obara, Shin'ya.</t>
  </si>
  <si>
    <t>Disability</t>
  </si>
  <si>
    <t>Future Market Demand and Costs of Long-term Services and Supports</t>
  </si>
  <si>
    <t>SOCIAL SCIENCE / People with Disabilities</t>
  </si>
  <si>
    <t>RA644.6 .M67 2009eb</t>
  </si>
  <si>
    <t>People with disabilities--Long-term care--Economic aspects--United States.,People with disabilities--Long-term care--Government policy--United States.,People with disabilities--Long-term care--United States--Costs.</t>
  </si>
  <si>
    <t>Morris, Michael-Hartnett, Johnette.</t>
  </si>
  <si>
    <t>Developments in Stem Cell Research</t>
  </si>
  <si>
    <t>QH588.S83 D52 2009eb</t>
  </si>
  <si>
    <t>Koka, Prasad S.</t>
  </si>
  <si>
    <t>Depression, Subjective Well-being, and Individual Aspirations of College Students</t>
  </si>
  <si>
    <t>RJ506.D4 M285 2009eb</t>
  </si>
  <si>
    <t>College students--Mental health.,Depression in adolescence.</t>
  </si>
  <si>
    <t>Copper Distributions in Aluminum Alloys</t>
  </si>
  <si>
    <t>TN775 .M87 2009eb</t>
  </si>
  <si>
    <t>Aluminum alloys.,Copper--Corrosion--Research.,Metals--Finishing.</t>
  </si>
  <si>
    <t>Muster, T. H.-Hughes, A. E.-Thompson, George E.</t>
  </si>
  <si>
    <t>Disability, Long-term Care, and Health Care in the 21st Century</t>
  </si>
  <si>
    <t>RA644.6 .M68 2009eb</t>
  </si>
  <si>
    <t>Health care reform--United States.,People with disabilities--Long-term care--United States.,People with disabilities--Medical care--United States.</t>
  </si>
  <si>
    <t>Psychological Factors and Cardiovascular Disorders</t>
  </si>
  <si>
    <t>The Role of Stress and Psychosocial Influences</t>
  </si>
  <si>
    <t>RC669 .P762 2009eb</t>
  </si>
  <si>
    <t>Cardiovascular system--Diseases--Psychosomatic aspects.,Cardiovascular system--Diseases--Social aspects.,Stress (Psychology)</t>
  </si>
  <si>
    <t>Sher, Leo.</t>
  </si>
  <si>
    <t>Derrida From Now On</t>
  </si>
  <si>
    <t>B2430.D484 N32 2008</t>
  </si>
  <si>
    <t>Scare Tactics</t>
  </si>
  <si>
    <t>Supernatural Fiction by American Women, With a New Preface</t>
  </si>
  <si>
    <t>PS374.W6 W38 2008</t>
  </si>
  <si>
    <t>American fiction--Women authors--History and criticism.,Ghost stories, American--History and criticism.,Gothic revival (Literature)--United States.,Horror tales, American--History and criticism.,Occultism in literature.,Supernatural in literature.</t>
  </si>
  <si>
    <t>Weinstock, Jeffrey Andrew</t>
  </si>
  <si>
    <t>Corpus</t>
  </si>
  <si>
    <t>B105.B64 N3613 2008</t>
  </si>
  <si>
    <t>Human body (Philosophy)</t>
  </si>
  <si>
    <t>Nancy, Jean-Luc.-Rand, Richard</t>
  </si>
  <si>
    <t>QC177 .E84 2009eb</t>
  </si>
  <si>
    <t>Duffy, Michael Ciaran.-LeÌvy, Joseph</t>
  </si>
  <si>
    <t>Stories We Need to Know</t>
  </si>
  <si>
    <t>Reading Your Life Path in Literature</t>
  </si>
  <si>
    <t>BF637.S4 H864 2008eb</t>
  </si>
  <si>
    <t>Archetype (Psychology),Archetype (Psychology) in literature.,Religious literature.,Self-actualization (Psychology),Self-realization.,Spiritual life in literature.,Spiritual life.,Spirituality in literature.</t>
  </si>
  <si>
    <t>Finding Sanctuary in Nature</t>
  </si>
  <si>
    <t>Simple Ceremonies in the Native American Tradition for Healing Yourself and Others</t>
  </si>
  <si>
    <t>E98.R3 E95 2007eb</t>
  </si>
  <si>
    <t>Indians of North America--Religion.,Shamanism--United States.,Spiritual life.</t>
  </si>
  <si>
    <t>Ewing, Jim PathFinder.</t>
  </si>
  <si>
    <t>Emergency Department Handbook</t>
  </si>
  <si>
    <t>Children and Adolescents with Mental Health Problems</t>
  </si>
  <si>
    <t>RJ504.4 .E44 2009eb</t>
  </si>
  <si>
    <t>Crisis intervention (Mental health services)--Handbooks, manuals, etc.,Mentally ill children--Handbooks, manuals, etc.</t>
  </si>
  <si>
    <t>Kaplan, Tony.</t>
  </si>
  <si>
    <t>Spirituality and Psychiatry</t>
  </si>
  <si>
    <t>RC489 .S65 2009eb</t>
  </si>
  <si>
    <t>Psychiatry--Religious aspects.,Spirituality.</t>
  </si>
  <si>
    <t>Sims, A. C. P.-Powell, Andrew-Cook, Chris.</t>
  </si>
  <si>
    <t>Nidotherapy: Harmonising the Environment with the Patient</t>
  </si>
  <si>
    <t>RC454 .T97 2009eb</t>
  </si>
  <si>
    <t>Mental illness--Treatment.</t>
  </si>
  <si>
    <t>Tyrer, Peter J.</t>
  </si>
  <si>
    <t>A Hundred Small Steps</t>
  </si>
  <si>
    <t>Report of the Committee on Financial Sector Reforms</t>
  </si>
  <si>
    <t>BUSINESS &amp; ECONOMICS / Public Finance</t>
  </si>
  <si>
    <t>HG187 .I63 2009eb</t>
  </si>
  <si>
    <t>Financial institutions--Government policy--India.</t>
  </si>
  <si>
    <t>India.</t>
  </si>
  <si>
    <t>The Acrobatics of CHANGE</t>
  </si>
  <si>
    <t>Concepts, Techniques, Strategies and Execution</t>
  </si>
  <si>
    <t>HD58.8 .S525 2008eb</t>
  </si>
  <si>
    <t>Industrial management.,Organizational change--Management.</t>
  </si>
  <si>
    <t>Siddiqui, Moid-Khwaja, R. H.</t>
  </si>
  <si>
    <t>Kerala's Economic Development</t>
  </si>
  <si>
    <t>Performance and Problems in the Post-Liberalization Period</t>
  </si>
  <si>
    <t>HC437.K4 K48 2004eb</t>
  </si>
  <si>
    <t>Prakash, B. A.</t>
  </si>
  <si>
    <t>The Netherlands in a Nutshell</t>
  </si>
  <si>
    <t>Highlights From Dutch History and Culture</t>
  </si>
  <si>
    <t>DH107 .N48 2008eb</t>
  </si>
  <si>
    <t>Commissie Ontwikkeling Nederlandse Canon.-Netherlands.</t>
  </si>
  <si>
    <t>Heidegger</t>
  </si>
  <si>
    <t>A Very Short Introduction</t>
  </si>
  <si>
    <t>B3279.H49 I594 2000eb</t>
  </si>
  <si>
    <t>Inwood, M. J.</t>
  </si>
  <si>
    <t>Very Short Introductions</t>
  </si>
  <si>
    <t>Careers in Infrastructure Building</t>
  </si>
  <si>
    <t>TA633 .C37 2009eb</t>
  </si>
  <si>
    <t>Construction industry--Vocational guidance.,Highway engineering--Vocational guidance.,Road construction industry--Vocational guidance.</t>
  </si>
  <si>
    <t>Careers in Computer Network Administration</t>
  </si>
  <si>
    <t>TK5105.5 .C37 2009eb</t>
  </si>
  <si>
    <t>Computer network architectures--Vocational guidance.,Computer networks--Vocational guidance.</t>
  </si>
  <si>
    <t>Careers in Engineering</t>
  </si>
  <si>
    <t>Structural Engineer</t>
  </si>
  <si>
    <t>Structural engineering--Vocational guidance.</t>
  </si>
  <si>
    <t>Career As a Clinical Researcher in the Pharmaceutical Industry</t>
  </si>
  <si>
    <t>RM301.28 .C37 2009eb</t>
  </si>
  <si>
    <t>Clinical pharmacology--Research--Vocational guidance.,Clinical pharmacology--Vocational guidance.,Drugs--Research--Vocational guidance.</t>
  </si>
  <si>
    <t>A Career As a Biomedical Engineer</t>
  </si>
  <si>
    <t>R856.25 .C37 2009eb</t>
  </si>
  <si>
    <t>Biomedical engineering--Vocational guidance.</t>
  </si>
  <si>
    <t>Career As a Nurse (RN)</t>
  </si>
  <si>
    <t>Geriatric Nursing</t>
  </si>
  <si>
    <t>RC954 .C37 2009eb</t>
  </si>
  <si>
    <t>Geriatric nursing--Vocational guidance.,Nursing--Vocational guidance.,Older people--Rehabilitation--Vocational guidance.</t>
  </si>
  <si>
    <t>Career As a Firefighter</t>
  </si>
  <si>
    <t>TH9119 .C37 2009eb</t>
  </si>
  <si>
    <t>Fire extinction--Vocational guidance.,Fire prevention--Vocational guidance.</t>
  </si>
  <si>
    <t>Armageddon Now</t>
  </si>
  <si>
    <t>The End of the World A to Z</t>
  </si>
  <si>
    <t>BL503 .W55 2006eb</t>
  </si>
  <si>
    <t>End of the world.</t>
  </si>
  <si>
    <t>Willis, Jim-Willis, Barbara.</t>
  </si>
  <si>
    <t>Rubber Technologist's Handbook</t>
  </si>
  <si>
    <t>Smithers Information Ltd.</t>
  </si>
  <si>
    <t>Rapra Technology Ltd</t>
  </si>
  <si>
    <t>TS1890 .R83eb vol.2</t>
  </si>
  <si>
    <t>Rubber, Artificial.,Rubber.</t>
  </si>
  <si>
    <t>Naskar, K.-White, J. R.-De, Sadhan K.-Rapra Technology Limited.</t>
  </si>
  <si>
    <t>Theodor Heuss, Erzieher zur Demokratie</t>
  </si>
  <si>
    <t>DD259.7.H4 A4 2007eb</t>
  </si>
  <si>
    <t>Heuss, Theodor-Becker, Ernst Wolfgang.</t>
  </si>
  <si>
    <t>Die klassische chinesische Prosa</t>
  </si>
  <si>
    <t>Essay, Reisebericht, Skizze, Brief ; vom Mittelalter bis zur Neuzeit</t>
  </si>
  <si>
    <t>PL2267 .K53 2004eb</t>
  </si>
  <si>
    <t>Chinese essays--History and criticism.,Chinese prose literature--History and criticism.,Letter writing, Chinese--History and criticism.,Travelers' writings, Chinese--History and criticism.</t>
  </si>
  <si>
    <t>Eggert, Marion.</t>
  </si>
  <si>
    <t>Geschichte der chinesischen Literatur</t>
  </si>
  <si>
    <t>Die chinesische ErzÃ¤hlung</t>
  </si>
  <si>
    <t>Vom Altertum bis zur Neuzeit</t>
  </si>
  <si>
    <t>PL2415 .M68 2003eb</t>
  </si>
  <si>
    <t>Chinese fiction--History and criticism.,Short stories, Chinese--History and criticism.</t>
  </si>
  <si>
    <t>Motsch, Monika.</t>
  </si>
  <si>
    <t>Der chinesische Roman der ausgehenden Kaiserzeit</t>
  </si>
  <si>
    <t>PL2415 .Z56eb bd. 2/1</t>
  </si>
  <si>
    <t>Chinese fiction--History and criticism.</t>
  </si>
  <si>
    <t>Zimmer, Thomas</t>
  </si>
  <si>
    <t>Die chinesische Dichtkunst. Von den AnfÃ¤ngen bis zum Ende der Kaiserzeit</t>
  </si>
  <si>
    <t>PL2307 .K83 2002eb</t>
  </si>
  <si>
    <t>Chinese poetry--History and criticism.</t>
  </si>
  <si>
    <t>Kubin, Wolfgang.</t>
  </si>
  <si>
    <t>Z147 .I43 2008eb</t>
  </si>
  <si>
    <t>Forever Free From Chronic Pain</t>
  </si>
  <si>
    <t>The Pain Sufferer's Guide to Getting Your Life Back</t>
  </si>
  <si>
    <t>RB127 .R68 2009eb</t>
  </si>
  <si>
    <t>Chronic pain.,Chronic pain--Treatment.,Foot--Abnormalities.,Posture.</t>
  </si>
  <si>
    <t>Rothbart, Brian A.-Penzabene, Linda F.</t>
  </si>
  <si>
    <t>I've Got a Domain, Now What???</t>
  </si>
  <si>
    <t>A Practical Guide to Building a Website and Your Web Presence</t>
  </si>
  <si>
    <t>TK5105.888 .B43 2008eb</t>
  </si>
  <si>
    <t>Internet.,Web sites--Design.,World Wide Web.</t>
  </si>
  <si>
    <t>Bedord, Jean.</t>
  </si>
  <si>
    <t>Jerusalem's Traitor</t>
  </si>
  <si>
    <t>Josephus, Masada, and the Fall of Judea</t>
  </si>
  <si>
    <t>Da Capo Press, a member of the Perseus Books Group</t>
  </si>
  <si>
    <t>DS115.9.J6 S42 2009eb</t>
  </si>
  <si>
    <t>Jews--History--168 B.C.-135 A.D.,Jews--History--Rebellion, 66-73.</t>
  </si>
  <si>
    <t>Seward, Desmond</t>
  </si>
  <si>
    <t>The People's Peking Man</t>
  </si>
  <si>
    <t>Popular Science and Human Identity in Twentieth-Century China</t>
  </si>
  <si>
    <t>GN284.7 .S36 2008eb</t>
  </si>
  <si>
    <t>Communism and science--China.,Paleoanthropology--China.,Peking man.</t>
  </si>
  <si>
    <t>Schmalzer, Sigrid.</t>
  </si>
  <si>
    <t>Bargaining for Brooklyn</t>
  </si>
  <si>
    <t>Community Organizations in the Entrepreneurial City</t>
  </si>
  <si>
    <t>HN80.N5 M27 2007eb</t>
  </si>
  <si>
    <t>Community development--New York (State)--New York.,Community organization--New York (State)--New York.,Sociology, Urban--New York (State)--New York.,Urban renewal--New York (State)--New York--Citizen participation.</t>
  </si>
  <si>
    <t>Marwell, Nicole P.</t>
  </si>
  <si>
    <t>Careers in Electrical Electronics Engineering</t>
  </si>
  <si>
    <t>TK159 .C37 2009eb</t>
  </si>
  <si>
    <t>Electrical engineering--Vocational guidance.</t>
  </si>
  <si>
    <t>Career As a Dental Assistant</t>
  </si>
  <si>
    <t>RK60.5 .C37 2009eb</t>
  </si>
  <si>
    <t>Dental assistants--Vocational guidance.</t>
  </si>
  <si>
    <t>Career As a Family Practice Physician</t>
  </si>
  <si>
    <t>R690 .C37 2009eb</t>
  </si>
  <si>
    <t>Family medicine--Vocational guidance.,Physicians (General practice)</t>
  </si>
  <si>
    <t>Tobacco Use</t>
  </si>
  <si>
    <t>Health and Behaviour</t>
  </si>
  <si>
    <t>RA1242.T6 J55 2008eb</t>
  </si>
  <si>
    <t>Nicotine addiction--Treatment.,Nicotine addiction--Treatment--India.,Smoking cessation.,Smoking cessation--India.,Tobacco use--Health aspects.,Tobacco use--Health aspects--India.</t>
  </si>
  <si>
    <t>Jiloha, R. C.</t>
  </si>
  <si>
    <t>Mechanisms in Advanced Organic Chemistry</t>
  </si>
  <si>
    <t>QD251.3 .N37 2008eb</t>
  </si>
  <si>
    <t>Chemistry, Organic.</t>
  </si>
  <si>
    <t>Narain, R. P.</t>
  </si>
  <si>
    <t>African Women and ICTs</t>
  </si>
  <si>
    <t>Investigating Technology, Gender and Empowerment</t>
  </si>
  <si>
    <t>T58.5 .A396 2009eb</t>
  </si>
  <si>
    <t>Information technology--Social aspects--Africa.,Women in community organization--Africa.,Women--Effect of technological innovations on--Africa.</t>
  </si>
  <si>
    <t>Buskens, Ineke.-Webb, Anne.</t>
  </si>
  <si>
    <t>Environmental Engineering Laboratory Manual</t>
  </si>
  <si>
    <t>For First Year Engineering Students (common to All Branches</t>
  </si>
  <si>
    <t>TD157.15 .G38 2008eb</t>
  </si>
  <si>
    <t>Environmental engineering--Laboratory manuals.,Sewage--Analysis--Laboratory manuals.,Water--Analysis--Laboratory manuals.</t>
  </si>
  <si>
    <t>Basics of Computer Science</t>
  </si>
  <si>
    <t>Includes Solution for Lab Assignment &amp; Viva Question Bank</t>
  </si>
  <si>
    <t>QA76 .K536 2008eb</t>
  </si>
  <si>
    <t>Computer science.</t>
  </si>
  <si>
    <t>Khanna, Rajiv.</t>
  </si>
  <si>
    <t>Multidimensional Neural Networks</t>
  </si>
  <si>
    <t>Unified Theory</t>
  </si>
  <si>
    <t>QP363.3 .M87 2008eb</t>
  </si>
  <si>
    <t>Neural networks (Neurobiology)</t>
  </si>
  <si>
    <t>Murthy, G. Rama.</t>
  </si>
  <si>
    <t>Water Management</t>
  </si>
  <si>
    <t>Conservation, Harvesting and Artificial Recharge</t>
  </si>
  <si>
    <t>TD345 .P38 2008eb</t>
  </si>
  <si>
    <t>Water utilities--Management.,Water-supply--Management.</t>
  </si>
  <si>
    <t>Patel, A. S.-Shah, Dhananjay L.</t>
  </si>
  <si>
    <t>Basic Geotechnical Earthquake Engineering</t>
  </si>
  <si>
    <t>TA654.6 .K863 2008eb</t>
  </si>
  <si>
    <t>Earthquake engineering--India.,Soil dynamics.,Soil mechanics.</t>
  </si>
  <si>
    <t>Kumar, Kamalesh.</t>
  </si>
  <si>
    <t>Safe Patient Handling and Movement</t>
  </si>
  <si>
    <t>A Practical Guide for Health Care Professionals</t>
  </si>
  <si>
    <t>MEDICAL / Nursing Home Care</t>
  </si>
  <si>
    <t>RT87.T72 S24 2006eb</t>
  </si>
  <si>
    <t>Nursing.,Patients--Positioning.,Transport of sick and wounded.</t>
  </si>
  <si>
    <t>Nelson, Audrey</t>
  </si>
  <si>
    <t>Building Websites with Microsoft Content Management Server</t>
  </si>
  <si>
    <t>TK5105.8885.M52 Y35 2004eb</t>
  </si>
  <si>
    <t>Web site development.</t>
  </si>
  <si>
    <t>Ying, Lim Mei.-Ward, Joel.-GoÃŸner, Stefan.</t>
  </si>
  <si>
    <t>Windows Server 2003 Active Directory Design and Implementation: Creating, Migrating, and Merging Networks</t>
  </si>
  <si>
    <t>COMPUTERS / Web / Browsers</t>
  </si>
  <si>
    <t>TK5105.595 .S28 2005eb</t>
  </si>
  <si>
    <t>Directory services (Computer network technology),Operating systems (Computers)</t>
  </si>
  <si>
    <t>Savill, John</t>
  </si>
  <si>
    <t>SSL VPN</t>
  </si>
  <si>
    <t>Understanding, Evaluating, and Planning Secure, Web-based Remote Access</t>
  </si>
  <si>
    <t>TK5105.875.E87 .S74 2005eb</t>
  </si>
  <si>
    <t>Computer networks--Remote access.,Computer security.,Data encryption (Computer science),Extranets (Computer networks)</t>
  </si>
  <si>
    <t>Steinberg, Joseph.-Speed, Tim.</t>
  </si>
  <si>
    <t>Learning VirtualDub: The Complete Guide to Capturing, Processing and Encoding Digital Video</t>
  </si>
  <si>
    <t>TK6680.5 .D48 2005eb</t>
  </si>
  <si>
    <t>Digital video--Data processing.,Digital video--Editing--Data processing.,Video tapes--Editing--Data processing.</t>
  </si>
  <si>
    <t>Diamantopoulos, Georgios-Buechler, John-Salehi, Sohail</t>
  </si>
  <si>
    <t>User Training for Busy Programmers</t>
  </si>
  <si>
    <t>Develop Effective Software Training Classes Quickly and Easily</t>
  </si>
  <si>
    <t>COMPUTERS / Software Development &amp; Engineering / General</t>
  </si>
  <si>
    <t>QA76.6 .R534 2005eb</t>
  </si>
  <si>
    <t>Computer programming--Study and teaching.</t>
  </si>
  <si>
    <t>Rice, William.</t>
  </si>
  <si>
    <t>Linux Email</t>
  </si>
  <si>
    <t>Set up and Run a Small Office Email Server</t>
  </si>
  <si>
    <t>TK5105.74.L56 L56 2005eb</t>
  </si>
  <si>
    <t>Electronic mail systems.,Internet programming.</t>
  </si>
  <si>
    <t>BaÌˆck, Magnus.</t>
  </si>
  <si>
    <t>GDI+ Custom Controls with Visual Câ™¯ 2005</t>
  </si>
  <si>
    <t>A Fast-paced Example-driven Tutorial to Building Custom Controls Using Visual Câ™¯ 2005 Express Edition</t>
  </si>
  <si>
    <t>COMPUTERS / Desktop Applications / Design &amp; Graphics</t>
  </si>
  <si>
    <t>T385 .G35 2006eb</t>
  </si>
  <si>
    <t>C# (Computer program language),Computer graphics.,Internet programming.,Web site development.</t>
  </si>
  <si>
    <t>Serban, Iulian.</t>
  </si>
  <si>
    <t>BPEL Cookbook</t>
  </si>
  <si>
    <t>Best Practices for SOA-based Integration and Composite Applications Development; Ten Practical Real-world Case Studies Combining Business Process Management and Web Services Orchestration</t>
  </si>
  <si>
    <t>BUSINESS &amp; ECONOMICS / Structural Adjustment</t>
  </si>
  <si>
    <t>QA76.754 .B645 2006eb</t>
  </si>
  <si>
    <t>Application software.,BPEL (Computer program language),Business enterprises--Data processing.,Business logistics--Data processing.</t>
  </si>
  <si>
    <t>Zirn, Markus.-Gaur, Harish.</t>
  </si>
  <si>
    <t>Learning Jakarta Struts 1.2</t>
  </si>
  <si>
    <t>A Concise and Practical Tutorial</t>
  </si>
  <si>
    <t>TK5105.8885.S76 W5413 2005eb</t>
  </si>
  <si>
    <t>Application software.,Struts framework.,Web sites--Design.</t>
  </si>
  <si>
    <t>Wiesner, Stephan</t>
  </si>
  <si>
    <t>UML 2.0 in Action</t>
  </si>
  <si>
    <t>A Project-based Tutorial</t>
  </si>
  <si>
    <t>QA76.9.O35 G73 2005eb</t>
  </si>
  <si>
    <t>Object-oriented programming (Computer science),UML (Computer science)</t>
  </si>
  <si>
    <t>GraÌˆssle, Patrick.-Baumann, Henriette.-Baumann, Philippe.</t>
  </si>
  <si>
    <t>Advanced Microsoft Content Management Server Development</t>
  </si>
  <si>
    <t>Working with the Publishing API, Placeholders, Search, Web Services, RSS, and SharePoint Integration</t>
  </si>
  <si>
    <t>TK5105.8885.M52 A38 2005eb</t>
  </si>
  <si>
    <t>Ying, Lim Mei.</t>
  </si>
  <si>
    <t>Business Process Execution Language for Web Services</t>
  </si>
  <si>
    <t>An Architect and Developer's Guide to Orchestrating Web Services Using BPEL4WS</t>
  </si>
  <si>
    <t>TK5105.88813 .J87 2006eb</t>
  </si>
  <si>
    <t>Electronic commerce--Computer programs.,Programming languages (Electronic computers),Web services.</t>
  </si>
  <si>
    <t>Juric, Matjaz B.-Mathew, Benny.-Sarang, P. G.</t>
  </si>
  <si>
    <t>Building and Integrating Virtual Private Networks with Openswan</t>
  </si>
  <si>
    <t>Learn From the Developers of Openswan How to Building Industry-standard, Military-grade VPNs and Connect Them with Windows, Mac OS X, and Other VPN Vendors</t>
  </si>
  <si>
    <t>COMPUTERS / Networking / Intranets &amp; Extranets</t>
  </si>
  <si>
    <t>TK5105.875.E87 W68 2006eb</t>
  </si>
  <si>
    <t>Wouters, Paul.-Bantoft, Ken.</t>
  </si>
  <si>
    <t>DNS in Action</t>
  </si>
  <si>
    <t>A Detailed and Practical Guide to DNS Implementation, Configuration, and Administration</t>
  </si>
  <si>
    <t>TK5105.8835 .D678 2006eb</t>
  </si>
  <si>
    <t>Internet addresses.,Internet domain names.</t>
  </si>
  <si>
    <t>DostaÌlek, Libor.-KabelovaÌ, Alena.</t>
  </si>
  <si>
    <t>Building Forums with VBulletin</t>
  </si>
  <si>
    <t>Creating and Maintaining Online Discussion Forums</t>
  </si>
  <si>
    <t>QA76.9.B84 K56 2006eb</t>
  </si>
  <si>
    <t>Computer bulletin boards.,Electronic discussion groups.,Online chat groups.</t>
  </si>
  <si>
    <t>Kingsley-Hughes, Adrian.-Kingsley-Hughes, Kathie.</t>
  </si>
  <si>
    <t>Understanding TCP/IP</t>
  </si>
  <si>
    <t>A Clear and Comprehensive Guide to TCP/IP Protocols</t>
  </si>
  <si>
    <t>COMPUTERS / Networking / Network Protocols</t>
  </si>
  <si>
    <t>TK5105.585 .D678 2006eb</t>
  </si>
  <si>
    <t>TCP/IP (Computer network protocol)</t>
  </si>
  <si>
    <t>DostaÌlek, Libor-KabelovaÌ, Alena</t>
  </si>
  <si>
    <t>Le droit aÌ€ la santeÌ</t>
  </si>
  <si>
    <t>au-delaÌ€ de la grossesse et de la reproduction</t>
  </si>
  <si>
    <t>RA778 .K5714 1996eb</t>
  </si>
  <si>
    <t>Women--Developing countries--Social conditions.,Women--Health and hygiene--Developing countries.</t>
  </si>
  <si>
    <t>Kitts, Jennifer.-Hatcher Roberts, Janet.-International Development Research Centre (Canada)</t>
  </si>
  <si>
    <t>Technology Policy and Practice in Africa</t>
  </si>
  <si>
    <t>TECHNOLOGY &amp; ENGINEERING / Industrial Technology</t>
  </si>
  <si>
    <t>T174.3 .T37556 1995eb</t>
  </si>
  <si>
    <t>Technology and state--Africa--Case studies.,Technology transfer--Africa--Case studies.</t>
  </si>
  <si>
    <t>Mlawa, Hasa Mfaume.-Oyelaran-Oyeyinka, Oyebanji.-Ogbu, Michael Osita.-International Development Research Centre (Canada)</t>
  </si>
  <si>
    <t>Community Assessment of Natural Food Sources of Vitamin A</t>
  </si>
  <si>
    <t>Guidelines for an Ethnographic Protocol</t>
  </si>
  <si>
    <t>QP772.V5 C66 1997eb</t>
  </si>
  <si>
    <t>Nutritional anthropology--Methodology.,Vitamin A deficiency--Prevention.,Vitamin A in human nutrition.</t>
  </si>
  <si>
    <t>Blum, Lauren.-International Nutrition Foundation for Developing Countries.-International Development Research Centre (Canada)</t>
  </si>
  <si>
    <t>GIS for Health and the Environment</t>
  </si>
  <si>
    <t>Proceedings of an International Workshop Held in Colombo, Sri Lanka, 5-10 September 1994</t>
  </si>
  <si>
    <t>TRAVEL / Food, Lodging &amp; Transportation / Road Travel</t>
  </si>
  <si>
    <t>RA566 .G57 1995eb</t>
  </si>
  <si>
    <t>Environmental health--Data processing--Congresses.,Geographic information systems--Congresses.,Public health--Data processing--Congresses.</t>
  </si>
  <si>
    <t>De Savigny, Don.-Wijeyaratne, Pandu.</t>
  </si>
  <si>
    <t>A Decade of Reform</t>
  </si>
  <si>
    <t>Science &amp; Technology Policy in China</t>
  </si>
  <si>
    <t>BUSINESS &amp; ECONOMICS / Development / Business Development</t>
  </si>
  <si>
    <t>Q127.C5 D43 1997eb</t>
  </si>
  <si>
    <t>Science and state--China.,Technological innovations--China.,Technology and state--China.,Technology transfer--China.</t>
  </si>
  <si>
    <t>China.-International Development Research Centre (Canada)</t>
  </si>
  <si>
    <t>Historical Dictionary of the Petroleum Industry</t>
  </si>
  <si>
    <t>HISTORY / Reference</t>
  </si>
  <si>
    <t>TN865 .V38 2009eb</t>
  </si>
  <si>
    <t>Gas engineering--History--Dictionaries.,Petroleum engineering--History--Dictionaries.,Petroleum industry and trade--History--Dictionaries.</t>
  </si>
  <si>
    <t>Vassiliou, M. S.</t>
  </si>
  <si>
    <t>Historical Dictionaries of Professions and Industries</t>
  </si>
  <si>
    <t>Orson Welles</t>
  </si>
  <si>
    <t>The Pocket Essential Guide</t>
  </si>
  <si>
    <t>Pocket Essentials</t>
  </si>
  <si>
    <t>PERFORMING ARTS / Film / Reference</t>
  </si>
  <si>
    <t>PN1998.3.W45 F58 2002eb</t>
  </si>
  <si>
    <t>Motion picture producers and directors--United States--Biography.</t>
  </si>
  <si>
    <t>FitzGerald, Martin.</t>
  </si>
  <si>
    <t>Pocket Essential Film</t>
  </si>
  <si>
    <t>Environmental Biotechnology</t>
  </si>
  <si>
    <t>TD192.5 .S65 2008eb</t>
  </si>
  <si>
    <t>Bioremediation.</t>
  </si>
  <si>
    <t>Srinivas, T.</t>
  </si>
  <si>
    <t>MCQs in Biochemistry</t>
  </si>
  <si>
    <t>QP518.5 .S24 2008eb</t>
  </si>
  <si>
    <t>Biochemistry--Examinations, questions, etc.</t>
  </si>
  <si>
    <t>Introduction to Materials Handling</t>
  </si>
  <si>
    <t>BUSINESS &amp; ECONOMICS / Production &amp; Operations Management</t>
  </si>
  <si>
    <t>TS180 .R39 2008eb</t>
  </si>
  <si>
    <t>Human engineering.,Lifting and carrying.,Materials handling.</t>
  </si>
  <si>
    <t>Ray, Siddhartha.</t>
  </si>
  <si>
    <t>The Official Autism 101 Manual</t>
  </si>
  <si>
    <t>RC553.A88 S56 2006eb</t>
  </si>
  <si>
    <t>Autism.,Autism--Diagnosis.,Autism--Psychological aspects.,Autism--Treatment.</t>
  </si>
  <si>
    <t>Simmons, Karen L.</t>
  </si>
  <si>
    <t>Collections of Nothing</t>
  </si>
  <si>
    <t>AM401.K56 A3 2008eb</t>
  </si>
  <si>
    <t>Collectors and collecting--Miscellanea.,Collectors and collecting--Psychological aspects.,Collectors and collecting--United States.,Collectors and collecting--United States--Biography.</t>
  </si>
  <si>
    <t>King, W. D.</t>
  </si>
  <si>
    <t>Freedom Facts and Firsts</t>
  </si>
  <si>
    <t>400 Years of the African American Civil Rights Experience</t>
  </si>
  <si>
    <t>E185.61 .S636 2009eb</t>
  </si>
  <si>
    <t>African American civil rights workers--Biography.,African Americans--Biography.,African Americans--Civil rights--History.,Civil rights workers--United States--Biography.</t>
  </si>
  <si>
    <t>Smith, Jessie Carney.-Wynn, Linda T.</t>
  </si>
  <si>
    <t>The Skeleton Woman</t>
  </si>
  <si>
    <t>Spinifex Press</t>
  </si>
  <si>
    <t>FICTION / LGBT / Lesbian</t>
  </si>
  <si>
    <t>PR9639.3.R45 S54 2002eb</t>
  </si>
  <si>
    <t>Abandoned children--Fiction.,Lesbianism--Fiction.</t>
  </si>
  <si>
    <t>ReneÌe</t>
  </si>
  <si>
    <t>Web Content Management with Documentum</t>
  </si>
  <si>
    <t>Set Up, Design, Develop, and Deploy Documentum Applications: Concise, Practical Information on Documentum Web Content Management to Get the Most From This System</t>
  </si>
  <si>
    <t>QA76.9.D3 .K38 2006eb</t>
  </si>
  <si>
    <t>Web site development.,Web sites--Design.,Web sites--Management.</t>
  </si>
  <si>
    <t>Kathuria, Gaurav.</t>
  </si>
  <si>
    <t>Gardens</t>
  </si>
  <si>
    <t>An Essay on the Human Condition</t>
  </si>
  <si>
    <t>SB451 .H37 2008eb</t>
  </si>
  <si>
    <t>Gardens--History.</t>
  </si>
  <si>
    <t>Harrison, Robert Pogue.</t>
  </si>
  <si>
    <t>SASÂ²</t>
  </si>
  <si>
    <t>A Guide to Collaborative Inquiry and Social Engagement</t>
  </si>
  <si>
    <t>SOCIAL SCIENCE / Methodology</t>
  </si>
  <si>
    <t>H62 .C376 2008eb</t>
  </si>
  <si>
    <t>Social sciences--Methodology.,Social sciences--Research.,Sociology--Research.</t>
  </si>
  <si>
    <t>Chevalier, Jacques M.-Buckles, Daniel-International Development Research Centre (Canada)</t>
  </si>
  <si>
    <t>The Selected Poetry and Prose of Vittorio Sereni</t>
  </si>
  <si>
    <t>A Bilingual Edition</t>
  </si>
  <si>
    <t>PQ4879.E74 A27 2006eb</t>
  </si>
  <si>
    <t>Sereni, Vittorio.-Perryman, Marcus.-Robinson, Peter</t>
  </si>
  <si>
    <t>Selective Remembrances</t>
  </si>
  <si>
    <t>Archaeology in the Construction, Commemoration, and Consecration of National Pasts</t>
  </si>
  <si>
    <t>CC135 .S45 2007eb</t>
  </si>
  <si>
    <t>Archaeology and state--Case studies.,Archaeology--Political aspects--Case studies.,Historiography--Political aspects--Case studies.,Memory--Political aspects--Case studies.,Nationalism--Case studies.</t>
  </si>
  <si>
    <t>Ben-Yehuda, Nachman.-Kozelsky, Mara.-Kohl, Philip L.</t>
  </si>
  <si>
    <t>The Earth on Show</t>
  </si>
  <si>
    <t>Fossils and the Poetics of Popular Science, 1802-1856</t>
  </si>
  <si>
    <t>QE13.G7 O35 2007eb</t>
  </si>
  <si>
    <t>Geology in literature.,Geology--Great Britain--History--19th century.,Geology--Social aspects--Great Britain--History--19th century.,Literature and history--Great Britain.,Literature and science--Great Britain--History--19th century.,Science--Philosophy--History--19th century.</t>
  </si>
  <si>
    <t>O'Connor, Ralph.</t>
  </si>
  <si>
    <t>Alchemy and Authority in the Holy Roman Empire</t>
  </si>
  <si>
    <t>QD13 .N86 2007eb</t>
  </si>
  <si>
    <t>Alchemists.,Alchemy--History.</t>
  </si>
  <si>
    <t>Nummedal, Tara E.</t>
  </si>
  <si>
    <t>Professor Baseball</t>
  </si>
  <si>
    <t>Searching for Redemption and the Perfect Lineup on the Softball Diamonds of Central Park</t>
  </si>
  <si>
    <t>SPORTS &amp; RECREATION / General</t>
  </si>
  <si>
    <t>GV881 .A47 2007eb</t>
  </si>
  <si>
    <t>College teachers--Recreation--New York (State)--New York.,Middle-aged men--Recreation--New York (State)--New York.,Softball--New York (State)--New York.</t>
  </si>
  <si>
    <t>Amenta, Edwin</t>
  </si>
  <si>
    <t>Antimatter</t>
  </si>
  <si>
    <t>QC173 .C52 2009eb</t>
  </si>
  <si>
    <t>Antimatter.</t>
  </si>
  <si>
    <t>Close, F. E.</t>
  </si>
  <si>
    <t>Thinking for a Living: The Coming Age of Knowledge Work</t>
  </si>
  <si>
    <t>HD30.2 .M44 2004eb</t>
  </si>
  <si>
    <t>Knowledge management.,Knowledge workers.</t>
  </si>
  <si>
    <t>Megill, Kenneth A.</t>
  </si>
  <si>
    <t>Demetrii Chomateni Ponemata diaphora</t>
  </si>
  <si>
    <t>[Das Aktencorpus des Ohrider Erzbischofs Demetrios. Einleitung, kritischer Text und Indices]</t>
  </si>
  <si>
    <t>BX659.D4 A2 2002eb</t>
  </si>
  <si>
    <t>Demetrios-Prinzing, GuÌˆnter.</t>
  </si>
  <si>
    <t>Corpus Fontium Historiae Byzantinae</t>
  </si>
  <si>
    <t>Bioethics and Biosafety in Biotechnology</t>
  </si>
  <si>
    <t>TP248.2 .K75 2007eb</t>
  </si>
  <si>
    <t>Bioethics.,Biotechnology--Patents.,Biotechnology--Safety measures.</t>
  </si>
  <si>
    <t>Krishna, V. Sree.</t>
  </si>
  <si>
    <t>Chemical and Metallurgical Thermodynamics</t>
  </si>
  <si>
    <t>TN673 .P73 2007eb</t>
  </si>
  <si>
    <t>Metallurgy.,Thermodynamics.</t>
  </si>
  <si>
    <t>Prasad, Krishna Kant.-Ray, Hem Shanker.-Abraham, K. P.</t>
  </si>
  <si>
    <t>Uses of Energy Minerals and Changing Techniques</t>
  </si>
  <si>
    <t>TECHNOLOGY &amp; ENGINEERING / Power Resources / Fossil Fuels</t>
  </si>
  <si>
    <t>TN263.5 .C43 2008eb</t>
  </si>
  <si>
    <t>Energy minerals--India.,Energy minerals--India--History.,Energy minerals--Technological innovations.,Mines and mineral resources--India.</t>
  </si>
  <si>
    <t>Breast Cancer</t>
  </si>
  <si>
    <t>RC280.B8 B37 2008eb</t>
  </si>
  <si>
    <t>Breast--Cancer.,Breast--Cancer--Diagnosis.,Breast--Cancer--Treatment.</t>
  </si>
  <si>
    <t>Barber, Matthew D.-Thomas, Jeremy St. J.-Dixon, J. M.</t>
  </si>
  <si>
    <t>Managing Allergy</t>
  </si>
  <si>
    <t>HEALTH &amp; FITNESS / Diseases / Immune &amp; Autoimmune</t>
  </si>
  <si>
    <t>RC584 .M36 2008eb</t>
  </si>
  <si>
    <t>Allergy.,Allergy--Treatment.</t>
  </si>
  <si>
    <t>Platts-Mills, Thomas.-Custovic, A.</t>
  </si>
  <si>
    <t>Lymphoid Malignancies</t>
  </si>
  <si>
    <t>An Atlas of Investigation and Diagnosis</t>
  </si>
  <si>
    <t>RC280.L9 M38 2007eb</t>
  </si>
  <si>
    <t>Lymphomas--Atlases.</t>
  </si>
  <si>
    <t>Matutes, Estella.-Bain, Barbara J.-Wotherspoon, A. C.</t>
  </si>
  <si>
    <t>Osteoporosis</t>
  </si>
  <si>
    <t>RC931.O73 W66 2008eb</t>
  </si>
  <si>
    <t>Osteoporosis.</t>
  </si>
  <si>
    <t>Woolf, Anthony D.-AÌŠkesson, Kristina.</t>
  </si>
  <si>
    <t>Building Websites with PHP-Nuke</t>
  </si>
  <si>
    <t>TK5105.8885.P47 P37 2005eb</t>
  </si>
  <si>
    <t>Web site development.,Web sites--Management.</t>
  </si>
  <si>
    <t>Paterson, Douglas.</t>
  </si>
  <si>
    <t>RSS and Atom</t>
  </si>
  <si>
    <t>Understanding and Implementing Content Feeds and Syndication</t>
  </si>
  <si>
    <t>QA76.625 .W58 2005eb</t>
  </si>
  <si>
    <t>Internet programming.,RSS feeds.,Web site development.,XML (Document markup language)</t>
  </si>
  <si>
    <t>Wittenbrink, Heinz.</t>
  </si>
  <si>
    <t>Historical Dictionary of the Hittites</t>
  </si>
  <si>
    <t>DS66 .B87 2004eb</t>
  </si>
  <si>
    <t>Hittites--Civilization--Dictionaries.,Hittites--History--Dictionaries.</t>
  </si>
  <si>
    <t>Burney, Charles Allen.</t>
  </si>
  <si>
    <t>Historical Dictionaries of Ancient Civilizations and Historical Eras</t>
  </si>
  <si>
    <t>Historical Dictionary of the Peoples of the Southeast Asian Massif</t>
  </si>
  <si>
    <t>DS524 .M54 2006eb</t>
  </si>
  <si>
    <t>Ethnology--Southeast Asia--Dictionaries.</t>
  </si>
  <si>
    <t>Michaud, Jean</t>
  </si>
  <si>
    <t>Historical Dictionary of the Ottoman Empire</t>
  </si>
  <si>
    <t>HISTORY / Middle East / Turkey &amp; Ottoman Empire</t>
  </si>
  <si>
    <t>DR436 .S66 2003eb</t>
  </si>
  <si>
    <t>Somel, SelcÌ§uk AksÌ§in.</t>
  </si>
  <si>
    <t>Ancient Civilizations and Historical Eras</t>
  </si>
  <si>
    <t>Historical Dictionary of the Netherlands</t>
  </si>
  <si>
    <t>DH101 .H88 2007eb</t>
  </si>
  <si>
    <t>Koopmans, Joop W.-Huussen, A. H.</t>
  </si>
  <si>
    <t>Historical Dictionary of Switzerland</t>
  </si>
  <si>
    <t>DQ51 .S27 2007eb</t>
  </si>
  <si>
    <t>Schelbert, Leo.</t>
  </si>
  <si>
    <t>Historical Dictionary of Morocco</t>
  </si>
  <si>
    <t>DT313.7 .P37 2005eb</t>
  </si>
  <si>
    <t>Park, Thomas Kerlin.-Boum, Aomar.</t>
  </si>
  <si>
    <t>Historical Dictionary of Estonia</t>
  </si>
  <si>
    <t>DK503.37 .M55 2004eb</t>
  </si>
  <si>
    <t>Miljan, Toivo.</t>
  </si>
  <si>
    <t>European Historical Dictionaries</t>
  </si>
  <si>
    <t>Historical Dictionary of Australian and New Zealand Cinema</t>
  </si>
  <si>
    <t>PN1993.5.A8 M66 2005eb</t>
  </si>
  <si>
    <t>Motion pictures--Australia--Dictionaries.,Motion pictures--Dictionaries.</t>
  </si>
  <si>
    <t>Moran, Albert.-Vieth, Errol</t>
  </si>
  <si>
    <t>DT1264 .J36 2004eb</t>
  </si>
  <si>
    <t>James, W. Martin.-Broadhead, Susan H.</t>
  </si>
  <si>
    <t>Designing the Digital Experience</t>
  </si>
  <si>
    <t>How to Use Experience Design Tools and Techniques to Build Websites Customers Love</t>
  </si>
  <si>
    <t>TK5105.888 .K5546 2008eb</t>
  </si>
  <si>
    <t>Web sites--Design.</t>
  </si>
  <si>
    <t>King, David Lee</t>
  </si>
  <si>
    <t>Media Law for Journalists</t>
  </si>
  <si>
    <t>Sage Publications, Ltd.</t>
  </si>
  <si>
    <t>SAGE Publications Ltd</t>
  </si>
  <si>
    <t>KD2875 .S63 2006eb</t>
  </si>
  <si>
    <t>Journalists--Legal status, laws, etc.--Great Britain.,Press law--Great Britain.</t>
  </si>
  <si>
    <t>Smartt, Ursula.</t>
  </si>
  <si>
    <t>Death to Diabetes</t>
  </si>
  <si>
    <t>The 6 Stages of Type 2 Diabetes, Control and Reversal</t>
  </si>
  <si>
    <t>RC660 .M38 2005eb</t>
  </si>
  <si>
    <t>Diabetes.,Diabetes--Diet therapy--Recipes.,Diabetics.,Diabetics--Nutrition.,Non-insulin-dependent diabetes--Treatment.</t>
  </si>
  <si>
    <t>McCulley, DeWayne.</t>
  </si>
  <si>
    <t>Rumi - Past and Present, East and West</t>
  </si>
  <si>
    <t>The Life, Teachings, and Poetry of JalÃ¢l Al-Din Rumi</t>
  </si>
  <si>
    <t>POETRY / Middle Eastern</t>
  </si>
  <si>
    <t>PK6482</t>
  </si>
  <si>
    <t>Poets, Persian--747-1500--Biography.,Sufis--Biography.</t>
  </si>
  <si>
    <t>Lewis, Franklin-Dawson Books.</t>
  </si>
  <si>
    <t>Rawls</t>
  </si>
  <si>
    <t>JC578.R383 G73 2007eb</t>
  </si>
  <si>
    <t>Graham, Paul.</t>
  </si>
  <si>
    <t>Oneworld Thinkers</t>
  </si>
  <si>
    <t>The Encyclopedia of Religious Phenomena</t>
  </si>
  <si>
    <t>RELIGION / Reference</t>
  </si>
  <si>
    <t>BL31 .E467 2008eb</t>
  </si>
  <si>
    <t>Religion--Encyclopedias.,Religions--Encyclopedias.</t>
  </si>
  <si>
    <t>Melton, J. Gordon.</t>
  </si>
  <si>
    <t>The Handy Supreme Court Answer Book</t>
  </si>
  <si>
    <t>LAW / Courts</t>
  </si>
  <si>
    <t>KF8742.Z9 H83 2008eb</t>
  </si>
  <si>
    <t>Court rules--United States.</t>
  </si>
  <si>
    <t>Handy Answer Book Series</t>
  </si>
  <si>
    <t>American Murder</t>
  </si>
  <si>
    <t>Criminals, Crimes, and the Media</t>
  </si>
  <si>
    <t>TRUE CRIME / Murder / General</t>
  </si>
  <si>
    <t>HV6789 .M36 2008eb</t>
  </si>
  <si>
    <t>Crime in mass media--Case studies.,Crime in popular culture--United States--Case studies.,Murder in mass media--Case studies.</t>
  </si>
  <si>
    <t>Mayo, Mike</t>
  </si>
  <si>
    <t>The Transparent Cabal</t>
  </si>
  <si>
    <t>The Neoconservative Agenda, War in the Middle East, and the National Interest of Israel</t>
  </si>
  <si>
    <t>Enigma Editions</t>
  </si>
  <si>
    <t>E183.8.I7 S635 2008eb</t>
  </si>
  <si>
    <t>Conservatism--United States.,Iraq War, 2003-2011--Causes.</t>
  </si>
  <si>
    <t>Sniegoski, Stephen J.</t>
  </si>
  <si>
    <t>Distributist Perspectives: Volume II</t>
  </si>
  <si>
    <t>Essays on the Economics of Justice and Charity</t>
  </si>
  <si>
    <t>SOCIAL SCIENCE / Sociology / Rural</t>
  </si>
  <si>
    <t>HB523 .D568 2008eb</t>
  </si>
  <si>
    <t>Distributive justice.,Wealth--Moral and ethical aspects.</t>
  </si>
  <si>
    <t>Sharpe, John</t>
  </si>
  <si>
    <t>Distributist Perspectives Series</t>
  </si>
  <si>
    <t>Z4 .A73eb Bd. 62</t>
  </si>
  <si>
    <t>Book industries and trade--History.,Books--History.,Publishers and publishing--History.</t>
  </si>
  <si>
    <t>Rautenberg, Ursula.-Estermann, Monika.-BoÌˆrsenverein des Deutschen Buchhandels.</t>
  </si>
  <si>
    <t>Die Berliner Salons</t>
  </si>
  <si>
    <t>Mit historisch-literarischen SpaziergÃ¤ngen</t>
  </si>
  <si>
    <t>DD866.8 .W55 2000eb</t>
  </si>
  <si>
    <t>Salons--Germany--Berlin--History--19th century.</t>
  </si>
  <si>
    <t>Wilhelmy-Dollinger, Petra</t>
  </si>
  <si>
    <t>Die Intention des Dichters und die Zwecke der Interpreten</t>
  </si>
  <si>
    <t>Zu Theorie und Praxis der Dichterauslegung in den platonischen Dialogen</t>
  </si>
  <si>
    <t>B395 .W47 2002eb</t>
  </si>
  <si>
    <t>Poetics--History.</t>
  </si>
  <si>
    <t>Westermann, Hartmut.</t>
  </si>
  <si>
    <t>Quellen und Studien zur Philosophie</t>
  </si>
  <si>
    <t>Sittengesetz und Freiheit</t>
  </si>
  <si>
    <t>Untersuchungen zu Immanuel Kants Theorie des freien Willens</t>
  </si>
  <si>
    <t>B23 .Q45eb vol. 60</t>
  </si>
  <si>
    <t>Ethics.,Free will and determinism.</t>
  </si>
  <si>
    <t>Timmermann, Jens.</t>
  </si>
  <si>
    <t>State and Society in the Philippines</t>
  </si>
  <si>
    <t>POLITICAL SCIENCE / World / Asian</t>
  </si>
  <si>
    <t>DS672.8 .A25 2005eb</t>
  </si>
  <si>
    <t>Abinales, P. N.-Amoroso, Donna J.</t>
  </si>
  <si>
    <t>State and Society in East Asia Series</t>
  </si>
  <si>
    <t>Why They Don't Hate Us</t>
  </si>
  <si>
    <t>Lifting the Veil on the Axis of Evil</t>
  </si>
  <si>
    <t>DS35.74.U6 L48 2005eb</t>
  </si>
  <si>
    <t>Anti-Americanism--Islamic countries.</t>
  </si>
  <si>
    <t>LeVine, Mark</t>
  </si>
  <si>
    <t>Historical Dictionary of Unitarian Universalism</t>
  </si>
  <si>
    <t>RELIGION / Unitarian Universalism</t>
  </si>
  <si>
    <t>BX9809 .H37 2004eb</t>
  </si>
  <si>
    <t>Unitarian Universalist churches--Dictionaries.,Unitarian Universalist churches--History--Dictionaries.</t>
  </si>
  <si>
    <t>Harris, Mark W.</t>
  </si>
  <si>
    <t>Historical Dictionary of the Mongol World Empire</t>
  </si>
  <si>
    <t>DS19 .B84 2003eb</t>
  </si>
  <si>
    <t>Mongols--History--To 1500.,Mongols--History--To 1500--Dictionaries.</t>
  </si>
  <si>
    <t>Buell, Paul D.</t>
  </si>
  <si>
    <t>Therapeutic Strategies</t>
  </si>
  <si>
    <t>Metabolic Syndrome</t>
  </si>
  <si>
    <t>RC662.4 .M48 2008eb</t>
  </si>
  <si>
    <t>Metabolic syndrome--Treatment.</t>
  </si>
  <si>
    <t>Fonseca, Vivian A.</t>
  </si>
  <si>
    <t>Clinical Challenges in Lipid Disorders</t>
  </si>
  <si>
    <t>RC632.L5 T68 2008eb</t>
  </si>
  <si>
    <t>Toth, Peter P.-Sica, Domenic A.</t>
  </si>
  <si>
    <t>The Year in Hypertension</t>
  </si>
  <si>
    <t>RC685.H8 Y43eb vol. 7</t>
  </si>
  <si>
    <t>Hypertension.</t>
  </si>
  <si>
    <t>Townsend, Raymond R.</t>
  </si>
  <si>
    <t>The Year in Rheumatic Disorders</t>
  </si>
  <si>
    <t>RC927 .Y43 2008eb</t>
  </si>
  <si>
    <t>Rheumatism.</t>
  </si>
  <si>
    <t>Luthra, Harvinder.-Capell, Hilary A.-Madhok, R.</t>
  </si>
  <si>
    <t>Clinical Challenges in COPD</t>
  </si>
  <si>
    <t>RC776.O3 C55 2007eb</t>
  </si>
  <si>
    <t>Lungs--Diseases, Obstructive--Case studies.,Lungs--Diseases, Obstructive--Treatment--Case studies.</t>
  </si>
  <si>
    <t>Carone, M.-Donner, C. F.</t>
  </si>
  <si>
    <t>Asthma</t>
  </si>
  <si>
    <t>Current Treatments</t>
  </si>
  <si>
    <t>RC591 .A88 2007eb</t>
  </si>
  <si>
    <t>Asthma--Treatment.</t>
  </si>
  <si>
    <t>Holgate, S. T.-Polosa, Riccardo.</t>
  </si>
  <si>
    <t>Problem Solving in Rheumatology</t>
  </si>
  <si>
    <t>RC927 .P55 2008eb</t>
  </si>
  <si>
    <t>Rheumatology.,Rheumatology--Treatment.</t>
  </si>
  <si>
    <t>Pile, Kevin.-Kennedy, Lee</t>
  </si>
  <si>
    <t>Modern Therapeutic Targets</t>
  </si>
  <si>
    <t>General Dermatology</t>
  </si>
  <si>
    <t>An Atlas of Diagnosis and Management</t>
  </si>
  <si>
    <t>RL81 .G46 2007eb</t>
  </si>
  <si>
    <t>Dermatology--Atlases.,Skin--Diseases--Atlases.</t>
  </si>
  <si>
    <t>English, John S. C.</t>
  </si>
  <si>
    <t>Problem Solving in Endocrinology and Metabolism</t>
  </si>
  <si>
    <t>RC648 .K46 2007eb</t>
  </si>
  <si>
    <t>Endocrinology.,Metabolism--Disorders.</t>
  </si>
  <si>
    <t>Kennedy, Lee-Basu, Ansu.</t>
  </si>
  <si>
    <t>The Year in Urology</t>
  </si>
  <si>
    <t>RC871 .Y43eb vol. 3</t>
  </si>
  <si>
    <t>Urology.</t>
  </si>
  <si>
    <t>Schwaibold, Hartwig.-Probert, John L.</t>
  </si>
  <si>
    <t>Emerging Infections</t>
  </si>
  <si>
    <t>RC111 .S35 2008eb</t>
  </si>
  <si>
    <t>Communicable diseases.,Communicable diseases--Epidemiology.</t>
  </si>
  <si>
    <t>Salata, Robert A.-Bobak, David.</t>
  </si>
  <si>
    <t>Problem Solving in Diabetes</t>
  </si>
  <si>
    <t>RC660 .K46 2006eb</t>
  </si>
  <si>
    <t>Diabetes.,Diabetes--Treatment.</t>
  </si>
  <si>
    <t>Kennedy, Lee-Gazis, Anastasios.-Idris, Iskandar.</t>
  </si>
  <si>
    <t>Therapeutic Strategies in Hypertension</t>
  </si>
  <si>
    <t>RC685.H8 T46 2006eb</t>
  </si>
  <si>
    <t>Hypertension.,Hypertension--Treatment.</t>
  </si>
  <si>
    <t>The Year in Allergy</t>
  </si>
  <si>
    <t>RC584 .Y43eb vol. 3</t>
  </si>
  <si>
    <t>Allergy.,Immunology.</t>
  </si>
  <si>
    <t>Holgate, S. T.-Arshad, S. Hasan.</t>
  </si>
  <si>
    <t>Therapeutic Strategies in Dementia</t>
  </si>
  <si>
    <t>RC521 .T44 2007eb</t>
  </si>
  <si>
    <t>Alzheimer's disease--Treatment.,Dementia--Treatment.</t>
  </si>
  <si>
    <t>Ritchie, C. W.</t>
  </si>
  <si>
    <t>Esophageal Diseases</t>
  </si>
  <si>
    <t>RC815.7 .V34 2006eb</t>
  </si>
  <si>
    <t>Esophagus--Diseases--Diagnosis--Atlas.,Esophagus--Diseases--Treatment--Atlas.</t>
  </si>
  <si>
    <t>Vaezi, Michael F.</t>
  </si>
  <si>
    <t>The Year in Osteoporosis</t>
  </si>
  <si>
    <t>RC931.O73 Y43eb vol. 2</t>
  </si>
  <si>
    <t>Bones--Diseases.,Osteoporosis.</t>
  </si>
  <si>
    <t>AÌŠkesson, Kristina.</t>
  </si>
  <si>
    <t>RC591 .A725 2007eb</t>
  </si>
  <si>
    <t>Asthma.</t>
  </si>
  <si>
    <t>Johnston, Sebastian L.</t>
  </si>
  <si>
    <t>The Year in Schizophrenia</t>
  </si>
  <si>
    <t>RC514 .Y43 2007eb</t>
  </si>
  <si>
    <t>Schizophrenia.,Schizophrenia--Diagnosis.,Schizophrenia--Treatment.</t>
  </si>
  <si>
    <t>Carpenter, William T.-Thaker, Gunvant K.</t>
  </si>
  <si>
    <t>Problem Solving in Women's Health</t>
  </si>
  <si>
    <t>RG101 .P76 2008eb</t>
  </si>
  <si>
    <t>Generative organs, Female--Diseases.,Genitourinary organs--Diseases.,Gynecology.,Reproductive health.,Women--Diseases--Treatment.</t>
  </si>
  <si>
    <t>Rees, Margaret</t>
  </si>
  <si>
    <t>The Year in Anesthesia and Critical Care</t>
  </si>
  <si>
    <t>RD81 .Y43eb vol. 2</t>
  </si>
  <si>
    <t>Anesthesiology.,Critical care medicine.</t>
  </si>
  <si>
    <t>Hunter, Jennifer.</t>
  </si>
  <si>
    <t>Prostate Cancer</t>
  </si>
  <si>
    <t>RC280.P7 T48 2007eb</t>
  </si>
  <si>
    <t>Prostate--Cancer--Treatment.</t>
  </si>
  <si>
    <t>Payne, Heather A.-Feneley, Mark R.</t>
  </si>
  <si>
    <t>The Year in Lipid Disorders</t>
  </si>
  <si>
    <t>RC632.H87 Y43 2007eb</t>
  </si>
  <si>
    <t>Hyperlipidemia.,Lipids--Metabolism--Disorders.</t>
  </si>
  <si>
    <t>Packard, Christopher J.</t>
  </si>
  <si>
    <t>Managing Osteoporosis</t>
  </si>
  <si>
    <t>RC931.O73 M36 2007eb</t>
  </si>
  <si>
    <t>Exercise.,Osteoporosis--Prevention.,Osteoporosis--Risk factors.,Osteoporosis--Treatment.</t>
  </si>
  <si>
    <t>Lanham-New, S.</t>
  </si>
  <si>
    <t>Therapeutic Strategies in Heart Failure</t>
  </si>
  <si>
    <t>RC685.C53 T49 2008eb</t>
  </si>
  <si>
    <t>Heart failure--Prevention.,Heart failure--Treatment.</t>
  </si>
  <si>
    <t>Young, James B.-Yancy, Clyde W.</t>
  </si>
  <si>
    <t>Therapeutic Strategies in Cardiovascular Risk</t>
  </si>
  <si>
    <t>RC667 .T44 2008eb</t>
  </si>
  <si>
    <t>Cardiovascular system--Diseases--Prevention.,Cardiovascular system--Diseases--Risk factors.,Cardiovascular system--Diseases--Treatment.,Heart--Diseases--Prevention.,Heart--Diseases--Risk factors.,Heart--Diseases--Treatment.</t>
  </si>
  <si>
    <t>D'Agostino, Ralph B.-Graham, Ian M.</t>
  </si>
  <si>
    <t>Primary Hyperlipidemias</t>
  </si>
  <si>
    <t>RC632.L5 D385 2007eb</t>
  </si>
  <si>
    <t>Davignon, J.-Dufour, Robert.</t>
  </si>
  <si>
    <t>Dementia</t>
  </si>
  <si>
    <t>RC521 .D4523 2007eb</t>
  </si>
  <si>
    <t>Dementia--Diagnosis.</t>
  </si>
  <si>
    <t>McKeel, Daniel W.</t>
  </si>
  <si>
    <t>A Short History of Film</t>
  </si>
  <si>
    <t>Rutgers University Press</t>
  </si>
  <si>
    <t>PN1993.5.A1 D53 2008eb</t>
  </si>
  <si>
    <t>Motion picture industry--History.,Motion pictures--History.</t>
  </si>
  <si>
    <t>Dixon, Wheeler W.-Foster, Gwendolyn Audrey.</t>
  </si>
  <si>
    <t>The Semantics of Generics in Dutch and Related Languages</t>
  </si>
  <si>
    <t>FOREIGN LANGUAGE STUDY / Dutch</t>
  </si>
  <si>
    <t>PF585 .O67 2008eb</t>
  </si>
  <si>
    <t>Dutch language--Semantics.,Genericalness (Linguistics),Germanic languages--Semantics.</t>
  </si>
  <si>
    <t>Oosterhof, Albert</t>
  </si>
  <si>
    <t>Linguistics Today</t>
  </si>
  <si>
    <t>Historical Dictionary of German Theater</t>
  </si>
  <si>
    <t>PN2657 .G73 2006eb</t>
  </si>
  <si>
    <t>Dramatists, German--Biography--Dictionaries.,Theater--Germany--Biography--Dictionaries.,Theater--Germany--Dictionaries.</t>
  </si>
  <si>
    <t>Grange, William</t>
  </si>
  <si>
    <t>RA790.95 .M36 2007eb</t>
  </si>
  <si>
    <t>Mental health services--Management.</t>
  </si>
  <si>
    <t>Burns, Alistair S.-Bell, Stuart.-Bhugra, Dinesh.</t>
  </si>
  <si>
    <t>Historical Dictionary of Slovakia</t>
  </si>
  <si>
    <t>DB2744 .K57 2007eb</t>
  </si>
  <si>
    <t>Kirschbaum, Stanislav J.</t>
  </si>
  <si>
    <t>Historical Dictionary of Libya</t>
  </si>
  <si>
    <t>HISTORY / Africa / North</t>
  </si>
  <si>
    <t>DT223.3 .S7 2006eb</t>
  </si>
  <si>
    <t>St. John, Ronald Bruce.</t>
  </si>
  <si>
    <t>Historical Dictionary of the Chinese Cultural Revolution</t>
  </si>
  <si>
    <t>DS778.7 .G86 2006eb</t>
  </si>
  <si>
    <t>Guo, Jian-Zhou, Yuan-Song, Yongyi</t>
  </si>
  <si>
    <t>Historical Dictionary of Burma (Myanmar)</t>
  </si>
  <si>
    <t>DS528.34 .S44 2006eb</t>
  </si>
  <si>
    <t>Seekins, Donald M.</t>
  </si>
  <si>
    <t>Historical Dictionary of the Berbers (Imazighen)</t>
  </si>
  <si>
    <t>DT193.5.B45 I447 2006eb</t>
  </si>
  <si>
    <t>Berbers--Dictionaries.</t>
  </si>
  <si>
    <t>Ilahiane, Hsain.</t>
  </si>
  <si>
    <t>Historical Dictionary of Algeria</t>
  </si>
  <si>
    <t>DT283.7 .N39 2006eb</t>
  </si>
  <si>
    <t>Naylor, Phillip Chiviges.</t>
  </si>
  <si>
    <t>Historical Dictionary of United States-Middle East Relations</t>
  </si>
  <si>
    <t>HISTORY / Middle East / Egypt</t>
  </si>
  <si>
    <t>DS63.2.U5 H3472 2007eb</t>
  </si>
  <si>
    <t>Hahn, Peter L.</t>
  </si>
  <si>
    <t>Historical Dictionaries of U.S. Diplomacy</t>
  </si>
  <si>
    <t>Historical Dictionary of Postmodernist Literature and Theater</t>
  </si>
  <si>
    <t>PN771 .M36 2007eb</t>
  </si>
  <si>
    <t>Literature, Modern--20th century--Bio-bibliography--Dictionaries.,Literature, Modern--20th century--Dictionaries.,Postmodernism--Dictionaries.,Theater--History--20th century--Dictionaries.</t>
  </si>
  <si>
    <t>Mason, Fran</t>
  </si>
  <si>
    <t>7 Safety Habits That Could Save Your Life</t>
  </si>
  <si>
    <t>T55 .B38 2008eb</t>
  </si>
  <si>
    <t>Accidents--Prevention--Handbooks, manuals, etc.,Industrial safety--Handbooks, manuals, etc.</t>
  </si>
  <si>
    <t>Bateman, Wilson.</t>
  </si>
  <si>
    <t>JasperReports for Java Developers</t>
  </si>
  <si>
    <t>Create, Design, Format, and Export Reports with the World's Most Popular Java Reporting Library</t>
  </si>
  <si>
    <t>QA76.73.J38 H44 2006eb</t>
  </si>
  <si>
    <t>Java (Computer program language)</t>
  </si>
  <si>
    <t>Heffelfinger, David R.</t>
  </si>
  <si>
    <t>ImageMagick Tricks</t>
  </si>
  <si>
    <t>Web Image Effects From the Command Line and PHP: Unleash the Power of ImageMagick with This Fast, Friendly Tutorial and Tips Guide</t>
  </si>
  <si>
    <t>TECHNOLOGY &amp; ENGINEERING / Imaging Systems</t>
  </si>
  <si>
    <t>TR267.5.I43 S25 2006eb</t>
  </si>
  <si>
    <t>Image processing--Digital techniques.,Photography--Digital techniques.</t>
  </si>
  <si>
    <t>Salehi, Sohail</t>
  </si>
  <si>
    <t>Enhancing Microsoft Content Management Server with ASP.NET 2.0</t>
  </si>
  <si>
    <t>ASP.NET 2.0 Master Pages, Themes, Site Navigation, and the Membership Provider Model in Microsoft Content Management Server Development</t>
  </si>
  <si>
    <t>TK5105.8885.M52 H37 2006eb</t>
  </si>
  <si>
    <t>Web sites--Authoring programs--Computer programs.,Web sites--Management--Computer programs.</t>
  </si>
  <si>
    <t>Harbar, Spencer.-Ying, Lim Mei.-Gosser, Stefan.</t>
  </si>
  <si>
    <t>Configuring IPCop Firewalls</t>
  </si>
  <si>
    <t>Closing Borders with Open Source</t>
  </si>
  <si>
    <t>QA76.9.A25 D46 2006eb</t>
  </si>
  <si>
    <t>Firewalls (Computer security),Open source software.</t>
  </si>
  <si>
    <t>Dempster, Barrie.-Eaton-Lee, James.</t>
  </si>
  <si>
    <t>Creating Your MySQL Database</t>
  </si>
  <si>
    <t>Practical Design Tips and Techniques</t>
  </si>
  <si>
    <t>COMPUTERS / Programming Languages / SQL</t>
  </si>
  <si>
    <t>QA76.73.S67 D45 2006eb</t>
  </si>
  <si>
    <t>Database management--Computer programs.</t>
  </si>
  <si>
    <t>Delisle, Marc.</t>
  </si>
  <si>
    <t>Programming Windows Workflow Foundation</t>
  </si>
  <si>
    <t>Practical WF Techniques and Examples Using XAML and C#: a C# Developer's Guide to the Features and Programming Interfaces of Windows Workflow Foundation</t>
  </si>
  <si>
    <t>QA76.76.D47 A45 2006eb</t>
  </si>
  <si>
    <t>Application software--Development--Computer programs.,Workflow--Computer programs.</t>
  </si>
  <si>
    <t>Allen, K. Scott.</t>
  </si>
  <si>
    <t>The PEAR Installer Manifesto</t>
  </si>
  <si>
    <t>Revolutionizing PHP Application Development and Deployment</t>
  </si>
  <si>
    <t>QA76.73.P224 B43 2006eb</t>
  </si>
  <si>
    <t>PHP (Computer program language),Web sites--Design.</t>
  </si>
  <si>
    <t>Beaver, Gregory.</t>
  </si>
  <si>
    <t>Community Server Quickly</t>
  </si>
  <si>
    <t>A Concise and Practical Guide to Installation, Administration, and Customization</t>
  </si>
  <si>
    <t>TK5105.8885.C58 A53 2006eb</t>
  </si>
  <si>
    <t>Online social networks--Software.,Web servers.</t>
  </si>
  <si>
    <t>Anand, Narayanaswamy.</t>
  </si>
  <si>
    <t>Information Technology Network and Internet</t>
  </si>
  <si>
    <t>Innovative Single Window Book From Base to Research</t>
  </si>
  <si>
    <t>T58.5 .I54 2008eb</t>
  </si>
  <si>
    <t>Computer networks.,Information technology.,Internet.</t>
  </si>
  <si>
    <t>Irrigation and Water Resources Engineering</t>
  </si>
  <si>
    <t>TECHNOLOGY &amp; ENGINEERING / Hydraulics</t>
  </si>
  <si>
    <t>TC903 .A73 2008eb</t>
  </si>
  <si>
    <t>Groundwater--India.,Irrigation engineering--India.,Water resources development--India.</t>
  </si>
  <si>
    <t>Asawa, G. L.</t>
  </si>
  <si>
    <t>Science and Practice of Rubber Mixing</t>
  </si>
  <si>
    <t>TS1892 .N353 2000eb</t>
  </si>
  <si>
    <t>Elastomers.,Mixing machinery.,Nitrile rubber.,Polymerization.,Rubber machinery.,Rubber--Mixing.,Styrene-butadiene rubber.</t>
  </si>
  <si>
    <t>Nakajima, Nobuyuki.-Rapra Technology Limited.</t>
  </si>
  <si>
    <t>Rapid Testing Methods of Drugs of Abuse</t>
  </si>
  <si>
    <t>Manual for Use by National Law Enforcement and Narcotic Laboratory Personnel</t>
  </si>
  <si>
    <t>United Nations Publications</t>
  </si>
  <si>
    <t>MEDICAL / Psychiatry / Psychopharmacology</t>
  </si>
  <si>
    <t>RS190.D77 R37 1994eb</t>
  </si>
  <si>
    <t>Chemical tests and reagents--Methodology--Handbooks, manuals, etc.,Chemistry, Forensic--Methodology--Handbooks, manuals, etc.,Drugs of abuse--Analysis--Methodology--Handbooks, manuals, etc.,Drugs of abuse--Identification--Handbooks, manuals, etc.</t>
  </si>
  <si>
    <t>United Nations International Drug Control Programme.-United Nations Office on Drugs and Crime.</t>
  </si>
  <si>
    <t>An Introduction to Rubber Technology</t>
  </si>
  <si>
    <t>TS1890 .C547 1999eb</t>
  </si>
  <si>
    <t>Elastomers.,Plasticizers.,Rubber industry and trade.,Rubber, Artificial.,Rubber.</t>
  </si>
  <si>
    <t>Ciesielski, Andrew.-Rapra Technology Limited.</t>
  </si>
  <si>
    <t>Practical Guide to the Assessment of the Useful Life of Rubbers</t>
  </si>
  <si>
    <t>TS1892 .B71 2001eb</t>
  </si>
  <si>
    <t>Rubber--Analysis.,Rubber--Testing.</t>
  </si>
  <si>
    <t>Brown, Roger</t>
  </si>
  <si>
    <t>Comparative Materials Selection Data</t>
  </si>
  <si>
    <t>TP1120 .H68 2008eb</t>
  </si>
  <si>
    <t>Hough, Michael-Dolbey, Rebecca.-Allan, Stephen.-Rapra Technology Limited.</t>
  </si>
  <si>
    <t>The Plastics Compendium</t>
  </si>
  <si>
    <t>Ageing of Rubber</t>
  </si>
  <si>
    <t>Accelerated Weathering and Ozone Test Results</t>
  </si>
  <si>
    <t>TS1892 .B76 2001eb</t>
  </si>
  <si>
    <t>Rubber--Deterioration.,Rubber--Testing.</t>
  </si>
  <si>
    <t>Brown, Roger-Hawley, S. W.-Butler, T.-Rapra Technology Limited.</t>
  </si>
  <si>
    <t>Polymers for Electronic Components</t>
  </si>
  <si>
    <t>A Rapra Industry Analysis Report</t>
  </si>
  <si>
    <t>TECHNOLOGY &amp; ENGINEERING / Microwaves</t>
  </si>
  <si>
    <t>TK7871.15.P6 C68 2001eb</t>
  </si>
  <si>
    <t>Electronic apparatus and appliances--Materials.,Polymers--Electric properties.</t>
  </si>
  <si>
    <t>Cousins, Keith.-Rapra Technology Limited.</t>
  </si>
  <si>
    <t>Rapra Industry Analysis Report Series</t>
  </si>
  <si>
    <t>Advances in Automation for Plastics Injection Moulding</t>
  </si>
  <si>
    <t>TP1150 .M348 2001eb</t>
  </si>
  <si>
    <t>Injection molding of plastics--Automation.</t>
  </si>
  <si>
    <t>Mallon, J. M.-Rapra Technology Limited.</t>
  </si>
  <si>
    <t>Rapra Review Reports</t>
  </si>
  <si>
    <t>Infrared and Raman Spectroscopy of Polymers</t>
  </si>
  <si>
    <t>QC463.P5 K64 2001eb</t>
  </si>
  <si>
    <t>Fourier transform infrared spectroscopy.,Infrared spectroscopy.,Polymers--Spectra.,Raman spectroscopy.,Vibrational spectra.</t>
  </si>
  <si>
    <t>Koenig, Jack L.-Rapra Technology Limited.</t>
  </si>
  <si>
    <t>Advances in Urethane Science and Technology</t>
  </si>
  <si>
    <t>TP1180.P8 A32 2001eb</t>
  </si>
  <si>
    <t>Polyurethanes.,Urethanes.</t>
  </si>
  <si>
    <t>Klempner, Daniel.-Frisch, Kurt Charles</t>
  </si>
  <si>
    <t>Polymer Foams</t>
  </si>
  <si>
    <t>Trends in Use and Technology</t>
  </si>
  <si>
    <t>TP1183.F6 E28 2001eb</t>
  </si>
  <si>
    <t>Plastic foams.</t>
  </si>
  <si>
    <t>Eaves, David.-Rapra Technology Limited.</t>
  </si>
  <si>
    <t>End-of-life Tyres - Exploiting Their Value</t>
  </si>
  <si>
    <t>TS1912 .D84 2001eb</t>
  </si>
  <si>
    <t>Tires--Recycling.</t>
  </si>
  <si>
    <t>Dufton, P. W.-Rapra Technology Limited.</t>
  </si>
  <si>
    <t>Radiation Curing</t>
  </si>
  <si>
    <t>TP156.C8 D38 2001eb</t>
  </si>
  <si>
    <t>Radiation curing.</t>
  </si>
  <si>
    <t>Davidson, R. S.-Rapra Technology Limited.</t>
  </si>
  <si>
    <t>Metallic Pigments in Polymers</t>
  </si>
  <si>
    <t>TP1142 .W47 1999eb</t>
  </si>
  <si>
    <t>Chemistry, Organic.,Coatings.,Paint.,Polymers--Coloring.,Polymers--Surfaces.</t>
  </si>
  <si>
    <t>Wheeler, Ian.-Rapra Technology Limited.</t>
  </si>
  <si>
    <t>Silicone Elastomers</t>
  </si>
  <si>
    <t>QD383.S54 J47 2001eb</t>
  </si>
  <si>
    <t>Elastomers.,Silicones.</t>
  </si>
  <si>
    <t>Jerschow, Peter.-Rapra Technology Limited.</t>
  </si>
  <si>
    <t>TA455.P5 H68eb vol. 1</t>
  </si>
  <si>
    <t>Plastics.</t>
  </si>
  <si>
    <t>Hough, Michael.-Dolbey, Rebecca.</t>
  </si>
  <si>
    <t>Hot Runners in Injection Moulds</t>
  </si>
  <si>
    <t>TP1150 .F73 2001eb</t>
  </si>
  <si>
    <t>Frenkler, Daniel.-Zawistowski, Henryk.</t>
  </si>
  <si>
    <t>Rubber Analysis</t>
  </si>
  <si>
    <t>Polymers, Compounds and Products.</t>
  </si>
  <si>
    <t>TS1892 .F67 2001eb</t>
  </si>
  <si>
    <t>Polymers--Analysis.,Rubber.,Rubber--Analysis.</t>
  </si>
  <si>
    <t>Forrest, Martin John.-Rapra Technology Limited.</t>
  </si>
  <si>
    <t>TS1890 .R83 2001eb</t>
  </si>
  <si>
    <t>Rubber industry and trade.,Rubber--Handbooks, manuals, etc.</t>
  </si>
  <si>
    <t>White, J. R.-De, Sadhan K.-Rapra Technology Limited.</t>
  </si>
  <si>
    <t>Handbook of Rubber Bonding</t>
  </si>
  <si>
    <t>TS1892 .H36 2001eb</t>
  </si>
  <si>
    <t>Rubber to metal bonding.,Rubber--Bonding.</t>
  </si>
  <si>
    <t>Crowther, Bryan.-Rapra Technology Limited.</t>
  </si>
  <si>
    <t>Health and Safety in the Rubber Industry</t>
  </si>
  <si>
    <t>RC965.R8 C43 2001eb</t>
  </si>
  <si>
    <t>Rubber industry and trade--Health aspects.,Rubber industry and trade--Law and legislation.,Rubber industry and trade--Safety measures.</t>
  </si>
  <si>
    <t>Chaiear, Naesinee.-Rapra Technology Limited.</t>
  </si>
  <si>
    <t>Handbook of Composite Fabrication</t>
  </si>
  <si>
    <t>TA418.9.C6 A313eb</t>
  </si>
  <si>
    <t>Composite materials--Handbooks, manuals, etc.</t>
  </si>
  <si>
    <t>AkovalÄ±, GuÌˆneri.</t>
  </si>
  <si>
    <t>The Application of Textiles in Rubber</t>
  </si>
  <si>
    <t>TS1770 .W6 2001eb</t>
  </si>
  <si>
    <t>Elastomers.,Industrial fabrics.,Rubber.</t>
  </si>
  <si>
    <t>Wootton, David B.-Rapra Technology Limited.</t>
  </si>
  <si>
    <t>Natural Ageing of Rubber</t>
  </si>
  <si>
    <t>Changes in Physical Properties Over 40 Years</t>
  </si>
  <si>
    <t>TS1892 .B697 2000eb</t>
  </si>
  <si>
    <t>Rubber--Deterioration--Handbooks, manuals, etc.,Rubber--Testing.,Rubber--Testing--Handbooks, manuals, etc.</t>
  </si>
  <si>
    <t>Brown, Roger-Butler, T.-Rapra Technology Limited.</t>
  </si>
  <si>
    <t>Accelerated Heat Ageing Test Results</t>
  </si>
  <si>
    <t>TS1892 .B769 2001eb</t>
  </si>
  <si>
    <t>Rubber--Testing.</t>
  </si>
  <si>
    <t>Brown, Roger-Butler, T.-Hawley, S. W.</t>
  </si>
  <si>
    <t>The Role of Poly(vinyl Chloride) in Healthcare</t>
  </si>
  <si>
    <t>R857.P6 R65 2008eb</t>
  </si>
  <si>
    <t>Polymers in medicine.,Polyvinyl chloride--Mechanical properties.</t>
  </si>
  <si>
    <t>Blass, Colin R.</t>
  </si>
  <si>
    <t>IT Made E-Z</t>
  </si>
  <si>
    <t>A Guide to the Information Technology Industry</t>
  </si>
  <si>
    <t>BUSINESS &amp; ECONOMICS / Knowledge Capital</t>
  </si>
  <si>
    <t>T58.64 .B69 2008eb</t>
  </si>
  <si>
    <t>Information resources management.,Information technology--Personnel management.</t>
  </si>
  <si>
    <t>Bowman, Patrick H.</t>
  </si>
  <si>
    <t>La reÌforme du systeÌ€me de santeÌ</t>
  </si>
  <si>
    <t>MEDICAL / Health Risk Assessment</t>
  </si>
  <si>
    <t>RA395.T34 F59 2008eb</t>
  </si>
  <si>
    <t>Health planning--Developing countries.,Health planning--Tanzania.,Medical policy--Tanzania.,Public health administration--Tanzania.,Rural health--Tanzania.</t>
  </si>
  <si>
    <t>De Savigny, Don.-Tanzania.-International Development Research Centre (Canada)</t>
  </si>
  <si>
    <t>Un focus</t>
  </si>
  <si>
    <t>Fixing Health Systems</t>
  </si>
  <si>
    <t>De Savigny, Don.-International Development Research Centre (Canada)-Tanzania.</t>
  </si>
  <si>
    <t>In Focus</t>
  </si>
  <si>
    <t>Chemical Risk Analysis</t>
  </si>
  <si>
    <t>A Practical Handbook</t>
  </si>
  <si>
    <t>Elsevier Ltd.</t>
  </si>
  <si>
    <t>Butterworth-Heinemann</t>
  </si>
  <si>
    <t>T55.3.H3 M25213 2004eb</t>
  </si>
  <si>
    <t>Chemical plants--Risk assessment.,Chemical reactions--Safety measures.,Hazardous substances--Risk assessment.</t>
  </si>
  <si>
    <t>Martel, Bernard.-Cassidy, Keith</t>
  </si>
  <si>
    <t>Kogan Page Science Paper Edition</t>
  </si>
  <si>
    <t>The Archaeology of Ethnogenesis</t>
  </si>
  <si>
    <t>Race and Sexuality in Colonial San Francisco</t>
  </si>
  <si>
    <t>F868.S156 V67 2008eb</t>
  </si>
  <si>
    <t>Ethnicity--California--Presidio of San Francisco.,Ethnology--California--Presidio of San Francisco.,Excavations (Archaeology)--California--Presidio of San Francisco.,Sex role--California--Presidio of San Francisco.,Social archaeology--California--Presidio of San Francisco.</t>
  </si>
  <si>
    <t>Voss, Barbara L.</t>
  </si>
  <si>
    <t>Shari'ah Law</t>
  </si>
  <si>
    <t>RELIGION / Islam / Law</t>
  </si>
  <si>
    <t>KBP144 .K362 2008eb</t>
  </si>
  <si>
    <t>Islamic law.</t>
  </si>
  <si>
    <t>Kamali, Mohammad Hashim.</t>
  </si>
  <si>
    <t>New York City Politics</t>
  </si>
  <si>
    <t>Governing Gotham</t>
  </si>
  <si>
    <t>JS1230 .B47 2007eb</t>
  </si>
  <si>
    <t>Berg, Bruce F.</t>
  </si>
  <si>
    <t>Bioelectromagnetic Healing</t>
  </si>
  <si>
    <t>A Rationale for Its Use</t>
  </si>
  <si>
    <t>RM871 .V35 2007eb</t>
  </si>
  <si>
    <t>Electromagnetism in medicine.,Electrotherapeutics.</t>
  </si>
  <si>
    <t>Valone, Thomas.</t>
  </si>
  <si>
    <t>Resolving Patient Ambivalence</t>
  </si>
  <si>
    <t>A Five Session Motivational Interviewing Intervention</t>
  </si>
  <si>
    <t>RC533 .F54 2006eb</t>
  </si>
  <si>
    <t>Ambivalence.,Compulsive behavior--Patients--Counseling of.,Motivational interviewing.</t>
  </si>
  <si>
    <t>Fields, Ann.</t>
  </si>
  <si>
    <t>Mopping Tall!</t>
  </si>
  <si>
    <t>The Hubby's Guide to Housework, Yardwork, Domestic Bliss!</t>
  </si>
  <si>
    <t>Boson Books (Bitingduck)</t>
  </si>
  <si>
    <t>Boson Books</t>
  </si>
  <si>
    <t>FAMILY &amp; RELATIONSHIPS / General</t>
  </si>
  <si>
    <t>TX147 .D45 2003eb</t>
  </si>
  <si>
    <t>Home economics.,Housekeeping.</t>
  </si>
  <si>
    <t>DeLena, Lou.</t>
  </si>
  <si>
    <t>Statistics Using SAS Enterprise Guide</t>
  </si>
  <si>
    <t>SAS Publishing</t>
  </si>
  <si>
    <t>QA276.4 .D385 2007eb</t>
  </si>
  <si>
    <t>Analysis of variance--Computer programs.,Correlation (Statistics)--Computer programs.,Mathematical statistics--Data processing.,Regression analysis--Computer programs.</t>
  </si>
  <si>
    <t>Davis, James B.</t>
  </si>
  <si>
    <t>SAS Press Series</t>
  </si>
  <si>
    <t>The Rural Solution</t>
  </si>
  <si>
    <t>Modern Catholic Voices on Going Back to the Land</t>
  </si>
  <si>
    <t>Traditionalist Press</t>
  </si>
  <si>
    <t>HT421 .R86 2003eb</t>
  </si>
  <si>
    <t>Catholics--Religious life.,Economics--Religious aspects--Catholic Church.,Sociology, Rural--Philosophy.,Sociology, Rural--Religious aspects--Catholic Church.</t>
  </si>
  <si>
    <t>Palin, David.-Williamson, Richard.</t>
  </si>
  <si>
    <t>G. K. Chesterton</t>
  </si>
  <si>
    <t>A Prophet for the 21st Century</t>
  </si>
  <si>
    <t>PR4453.C4 Z75 2009eb</t>
  </si>
  <si>
    <t>Mackey, Aidan.</t>
  </si>
  <si>
    <t>The Death of Christian Culture</t>
  </si>
  <si>
    <t>BR115.C5 S46 2008eb</t>
  </si>
  <si>
    <t>Christianity--20th century.,Civilization, Christian.</t>
  </si>
  <si>
    <t>Senior, John</t>
  </si>
  <si>
    <t>The Restoration of Christian Culture</t>
  </si>
  <si>
    <t>BX1755 .S46 2008eb</t>
  </si>
  <si>
    <t>Beyond Capitalism &amp; Socialism</t>
  </si>
  <si>
    <t>A New Statement of an Old Ideal</t>
  </si>
  <si>
    <t>Light in the Darkness Publications</t>
  </si>
  <si>
    <t>POLITICAL SCIENCE / Public Policy / Economic Policy</t>
  </si>
  <si>
    <t>BX1795.C35 B49 2008eb</t>
  </si>
  <si>
    <t>Capitalism--Religious aspects--Catholic Church.,Socialism and Christianity--Catholic Church.</t>
  </si>
  <si>
    <t>Lanz, Tobias J.</t>
  </si>
  <si>
    <t>The Party System</t>
  </si>
  <si>
    <t>JN1121 .B45 2007eb</t>
  </si>
  <si>
    <t>Elections--Great Britain--History--20th century.,Political parties--Great Britain--History--20th century.</t>
  </si>
  <si>
    <t>Belloc, Hilaire-Chesterton, Cecil</t>
  </si>
  <si>
    <t>The Church at the Turning Points of History</t>
  </si>
  <si>
    <t>Gates Of Vienna Books</t>
  </si>
  <si>
    <t>BR145.3 .K87 2007eb</t>
  </si>
  <si>
    <t>Kurth, Godefroid</t>
  </si>
  <si>
    <t>Neo-Conned! Again</t>
  </si>
  <si>
    <t>Hypocrisy, Lawlessness, and the Rape of Iraq</t>
  </si>
  <si>
    <t>DS79.76 .N46 2007eb</t>
  </si>
  <si>
    <t>Conservatism--United States.,Hypocrisy--Political aspects--United States--Case studies.,Illegality--Case studies.,Iraq War, 2003---Causes.,Iraq War, 2003---Public opinion.,Public opinion--United States.,War on Terrorism, 2001-</t>
  </si>
  <si>
    <t>Sharpe, J. Forrest.-O'Huallachain, D. L.</t>
  </si>
  <si>
    <t>Neo-Conned!</t>
  </si>
  <si>
    <t>Just War Principles: A Condemnation of War in Iraq</t>
  </si>
  <si>
    <t>DS79.76 .N464 2007eb</t>
  </si>
  <si>
    <t>Aggression (International law),Conservatism--United States.,Iraq War, 2003---Moral and ethical aspects.,Just war doctrine.</t>
  </si>
  <si>
    <t>The Guild State</t>
  </si>
  <si>
    <t>Its Principles and Possibilities</t>
  </si>
  <si>
    <t>HISTORY / Europe / Renaissance</t>
  </si>
  <si>
    <t>HD6479 .T3 2006eb</t>
  </si>
  <si>
    <t>Guild socialism.</t>
  </si>
  <si>
    <t>Taylor, George Robert Stirling.</t>
  </si>
  <si>
    <t>Economics for Helen</t>
  </si>
  <si>
    <t>BUSINESS &amp; ECONOMICS / Economics / Theory</t>
  </si>
  <si>
    <t>HB171 .B354 2004eb</t>
  </si>
  <si>
    <t>Economics.,Wealth.</t>
  </si>
  <si>
    <t>Belloc, Hilaire</t>
  </si>
  <si>
    <t>Richelieu</t>
  </si>
  <si>
    <t>DC123.9.R5 B4 2006eb</t>
  </si>
  <si>
    <t>Cardinals--France--Biography.,Statesmen--France--Biography.</t>
  </si>
  <si>
    <t>Distributist Perspectives</t>
  </si>
  <si>
    <t>HB523 .D568eb vol. 1</t>
  </si>
  <si>
    <t>Shove, Herbert W.</t>
  </si>
  <si>
    <t>Dollfuss</t>
  </si>
  <si>
    <t>An Austrian Patriot</t>
  </si>
  <si>
    <t>DB98.D6 M42 2004eb</t>
  </si>
  <si>
    <t>Fascism--Austria--History.,Statesmen--Austria--Biography.</t>
  </si>
  <si>
    <t>Messner, Johannes</t>
  </si>
  <si>
    <t>Ethics and the National Economy</t>
  </si>
  <si>
    <t>BX1795.E27 P4713 2004eb</t>
  </si>
  <si>
    <t>Christian sociology--Catholic Church.,Economics--Religious aspects--Catholic Church.</t>
  </si>
  <si>
    <t>Pesch, Heinrich-Ederer, Rupert J.</t>
  </si>
  <si>
    <t>Charles II: The Last Rally</t>
  </si>
  <si>
    <t>DA445 .B38 2003eb</t>
  </si>
  <si>
    <t>Charles I</t>
  </si>
  <si>
    <t>DA396.A2 B4 2003eb</t>
  </si>
  <si>
    <t>An Essay on the Economic Effects of the Reformation</t>
  </si>
  <si>
    <t>BUSINESS &amp; ECONOMICS / Economic Conditions</t>
  </si>
  <si>
    <t>HC51.5 .O27 2003eb</t>
  </si>
  <si>
    <t>Capitalism.,Economic history--16th century.,Reformation.,Socialism.</t>
  </si>
  <si>
    <t>O'Brien, George Augustine Thomas</t>
  </si>
  <si>
    <t>A Miscellany of Men</t>
  </si>
  <si>
    <t>PR4453.C4 M5 2004eb</t>
  </si>
  <si>
    <t>Chesterton, G. K.</t>
  </si>
  <si>
    <t>Flee to the Fields</t>
  </si>
  <si>
    <t>The Founding Fathers of the Catholic Land Movement</t>
  </si>
  <si>
    <t>HT384.G7 F58 2003eb</t>
  </si>
  <si>
    <t>Agricultural colonies--Great Britain.,Country life--Great Britain.,Urban-rural migration--Great Britain.</t>
  </si>
  <si>
    <t>McQuillan, John.-Belloc, Hilaire</t>
  </si>
  <si>
    <t>The Gauntlet</t>
  </si>
  <si>
    <t>A Challenge to the Myth of Progress</t>
  </si>
  <si>
    <t>SOCIAL SCIENCE / Sociology of Religion</t>
  </si>
  <si>
    <t>HM891 .P46 2003eb</t>
  </si>
  <si>
    <t>Capitalism--Religious aspects--Christianity.,Guilds--Europe--History.,Progress.,Small business--Europe--History.,Social problems.</t>
  </si>
  <si>
    <t>Penty, Arthur J.</t>
  </si>
  <si>
    <t>Twelve Types</t>
  </si>
  <si>
    <t>A Collection of Mini-Biographies</t>
  </si>
  <si>
    <t>PR4453.C4 T8 2003eb</t>
  </si>
  <si>
    <t>Biography.,Character sketches.</t>
  </si>
  <si>
    <t>Catholicism, Protestantism, and Capitalism</t>
  </si>
  <si>
    <t>HB501 .F32 2003eb</t>
  </si>
  <si>
    <t>Capitalism--History.,Church and social problems--Catholic Church--History.,Protestantism--History.,Social ethics--History.</t>
  </si>
  <si>
    <t>Fanfani, Amintore.</t>
  </si>
  <si>
    <t>The Church and the Land</t>
  </si>
  <si>
    <t>HD593 .M38 2003eb</t>
  </si>
  <si>
    <t>Land tenure--Great Britain--History.,Land tenure--Religious aspects--Catholic Church--History.</t>
  </si>
  <si>
    <t>Irish Impressions</t>
  </si>
  <si>
    <t>DA962 .C4 2002eb</t>
  </si>
  <si>
    <t>Irish question.</t>
  </si>
  <si>
    <t>Utopia of Usurers</t>
  </si>
  <si>
    <t>HN389 .C48 2002eb</t>
  </si>
  <si>
    <t>Action</t>
  </si>
  <si>
    <t>BX2347 .O97 2002eb</t>
  </si>
  <si>
    <t>Christianity and justice--Catholic Church.,Church and social problems--Catholic Church.,Church and social problems--United States.,Church work--Catholic Church.</t>
  </si>
  <si>
    <t>Ousset, Jean</t>
  </si>
  <si>
    <t>The Free Press</t>
  </si>
  <si>
    <t>PN4888.C6 B4 2002eb</t>
  </si>
  <si>
    <t>Freedom of the press.,Journalism--Corrupt practices.</t>
  </si>
  <si>
    <t>The Outline of Sanity</t>
  </si>
  <si>
    <t>BUSINESS &amp; ECONOMICS / Accounting / General</t>
  </si>
  <si>
    <t>HB711 .C484 2001eb</t>
  </si>
  <si>
    <t>Communism.,Property.,Social problems.,Socialism.</t>
  </si>
  <si>
    <t>Be Your Own Therapist</t>
  </si>
  <si>
    <t>Recipes for Emotional Health</t>
  </si>
  <si>
    <t>RC489.M53 W723 2003eb</t>
  </si>
  <si>
    <t>Mind and body therapies--Handbooks, manuals, etc.,Self-management (Psychology)</t>
  </si>
  <si>
    <t>Wright, Susan</t>
  </si>
  <si>
    <t>The A-Z of Food Safety</t>
  </si>
  <si>
    <t>TX531 .S77 2007eb</t>
  </si>
  <si>
    <t>Food--Safety measures.</t>
  </si>
  <si>
    <t>Stranks, Jeremy W.</t>
  </si>
  <si>
    <t>Handbook for Psychiatric Trainees</t>
  </si>
  <si>
    <t>RC459 .H353 2008eb</t>
  </si>
  <si>
    <t>Psychiatry--Study and teaching--Handbooks, manuals, etc.</t>
  </si>
  <si>
    <t>Howes, Oliver.-Bhugra, Dinesh.</t>
  </si>
  <si>
    <t>Dancing with the Aardvark</t>
  </si>
  <si>
    <t>A Guided Journal for Managing Stress</t>
  </si>
  <si>
    <t>RA785 .S45 2006eb</t>
  </si>
  <si>
    <t>Seifert, Kathryn.</t>
  </si>
  <si>
    <t>How Children Become Violent</t>
  </si>
  <si>
    <t>Keeping Your Kids Out of Gangs, Terrorist Organizations, and Cults</t>
  </si>
  <si>
    <t>RJ506.V56 S456 2007eb</t>
  </si>
  <si>
    <t>Attachment disorder in children--Treatment.,Child mental health.,Children and violence--Prevention.,Children and violence--Psychological aspects.,Violence in children--Prevention.,Violence in children--Psychological aspects.</t>
  </si>
  <si>
    <t>Managing Stress and Trauma</t>
  </si>
  <si>
    <t>A Dance of Life</t>
  </si>
  <si>
    <t>Post-traumatic stress disorder.,Stress management.</t>
  </si>
  <si>
    <t>Why Disrupted Attachment Patterns Trigger Pathological Behavior</t>
  </si>
  <si>
    <t>RJ507.A77 S45 2006eb</t>
  </si>
  <si>
    <t>Attachment disorder in children.,Attachment disorder in children--Treatment.,Violence in children.</t>
  </si>
  <si>
    <t>Global Warming</t>
  </si>
  <si>
    <t>Executive Predictions</t>
  </si>
  <si>
    <t>QC981.8.G56 G56 2008eb</t>
  </si>
  <si>
    <t>Mudhol, Jitendra.-Levy, Mitchell.</t>
  </si>
  <si>
    <t>Real Resumes for Nursing Jobs</t>
  </si>
  <si>
    <t>Including Real Resumes Used to Change Careers and Resumes Used to Gain Federal Employment</t>
  </si>
  <si>
    <t>PrepPublishing</t>
  </si>
  <si>
    <t>Prep Publishing</t>
  </si>
  <si>
    <t>RT86.7 .M425 2003eb</t>
  </si>
  <si>
    <t>Nurses--Employment.,Nursing--Vocational guidance.,ReÂ´sumeÂ´s (Employment)</t>
  </si>
  <si>
    <t>McKinney, Anne</t>
  </si>
  <si>
    <t>Real-resumes Series</t>
  </si>
  <si>
    <t>Real-resumes for Medical Jobs</t>
  </si>
  <si>
    <t>BUSINESS &amp; ECONOMICS / Careers / Resumes</t>
  </si>
  <si>
    <t>R690 .R39 2001eb</t>
  </si>
  <si>
    <t>Medical personnel--Vocational guidance.,ReÂ´sumeÂ´s (Employment)</t>
  </si>
  <si>
    <t>Real-resumes for Firefighting Jobs</t>
  </si>
  <si>
    <t>TH9119 .R43 2004eb</t>
  </si>
  <si>
    <t>Fire extinction--Vocational guidance.,Fire fighters.,ReÂ´sumeÂ´s (Employment)</t>
  </si>
  <si>
    <t>The Real-resumes Series</t>
  </si>
  <si>
    <t>Real-resumes for Engineering Jobs</t>
  </si>
  <si>
    <t>TA157 .R35 2004eb</t>
  </si>
  <si>
    <t>Engineering--Vocational guidance.,Engineers--Employment.,ReÂ´sumeÂ´s (Employment)</t>
  </si>
  <si>
    <t>Over 66 Tips &amp; Tricks to Supercharge Your Trade Show Promotions</t>
  </si>
  <si>
    <t>BUSINESS &amp; ECONOMICS / Advertising &amp; Promotion</t>
  </si>
  <si>
    <t>T396 .M56 1999eb</t>
  </si>
  <si>
    <t>Marketing.,Trade shows.</t>
  </si>
  <si>
    <t>Miller, Steve</t>
  </si>
  <si>
    <t>Over 88 Tips &amp; Ideas to Supercharge Your Exhibit Sales</t>
  </si>
  <si>
    <t>BUSINESS &amp; ECONOMICS / Exports &amp; Imports</t>
  </si>
  <si>
    <t>T396 .M56 1997eb</t>
  </si>
  <si>
    <t>Miller, Steve-Bowden, Charmel.</t>
  </si>
  <si>
    <t>How to Design a "wow" Trade Show Booth Without Spending a Fortune</t>
  </si>
  <si>
    <t>T396 .M55 2002eb</t>
  </si>
  <si>
    <t>Trade shows--Exhibition techniques.</t>
  </si>
  <si>
    <t>Miller, Steve-Sjoquist, Robert.</t>
  </si>
  <si>
    <t>Never Tell Me Never</t>
  </si>
  <si>
    <t>BIOGRAPHY &amp; AUTOBIOGRAPHY / Social Scientists &amp; Psychologists</t>
  </si>
  <si>
    <t>RD796 .S54 1995eb</t>
  </si>
  <si>
    <t>Crash injuries--Patients--Rehabilitation--Australia.,Skiers--Australia--Biography.</t>
  </si>
  <si>
    <t>Shepherd, Janine.</t>
  </si>
  <si>
    <t>Safeguarding the Health Sector in Times of Macroeconomic Instability</t>
  </si>
  <si>
    <t>Policy Lessons for Low- and Middle-income Countries</t>
  </si>
  <si>
    <t>RA395.D44 S34 2008eb</t>
  </si>
  <si>
    <t>Economic stabilization--Developing countries.,Health care reform--Economic aspects--Developing countries.,Medical economics--Developing countries.,Medical policy--Economic aspects--Developing countries.,Public policy--Developing countries--Finance.,Structural adjustment (Economic policy)--Developing countries.</t>
  </si>
  <si>
    <t>Narayana, D.-Baris, Enis.-Haddad, Slim.</t>
  </si>
  <si>
    <t>Life in the Universe</t>
  </si>
  <si>
    <t>SCIENCE / Physics / Astrophysics</t>
  </si>
  <si>
    <t>QH326 .D37 2007eb</t>
  </si>
  <si>
    <t>Exobiology.</t>
  </si>
  <si>
    <t>Dartnell, Lewis.</t>
  </si>
  <si>
    <t>Consuming Youth</t>
  </si>
  <si>
    <t>Vampires, Cyborgs, and the Culture of Consumption</t>
  </si>
  <si>
    <t>HC110.C6 L37 2002eb</t>
  </si>
  <si>
    <t>Consumer behavior--United States.,Young adult consumers--United States--Attitudes.</t>
  </si>
  <si>
    <t>Latham, Rob</t>
  </si>
  <si>
    <t>On the Future of History</t>
  </si>
  <si>
    <t>The Postmodernist Challenge and Its Aftermath</t>
  </si>
  <si>
    <t>HM449 .B74 2003eb</t>
  </si>
  <si>
    <t>Historiography.,Postmodernism--Social aspects.</t>
  </si>
  <si>
    <t>Breisach, Ernst.</t>
  </si>
  <si>
    <t>Studies in Communication, Media, and Public Opinion</t>
  </si>
  <si>
    <t>Analyzing Receiver Operating Characteristic Curves with SAS</t>
  </si>
  <si>
    <t>R853.S7 G67 2007eb</t>
  </si>
  <si>
    <t>Medical statistics.,Medicine--Research--Statistical methods.,SAS (Computer program language)</t>
  </si>
  <si>
    <t>Gonen, Mithat.-SAS Institute.</t>
  </si>
  <si>
    <t>Lineare Algebra</t>
  </si>
  <si>
    <t>QA184 .K693 2003eb</t>
  </si>
  <si>
    <t>Algebras, Linear.</t>
  </si>
  <si>
    <t>Kowalsky, Hans Joachim-Michler, G.</t>
  </si>
  <si>
    <t>GeodÃ¤sie</t>
  </si>
  <si>
    <t>QB281 .T58 2003eb</t>
  </si>
  <si>
    <t>Geodesy.</t>
  </si>
  <si>
    <t>Torge, Wolfgang.</t>
  </si>
  <si>
    <t>Language Diversity Endangered</t>
  </si>
  <si>
    <t>P40.5.L28 L36 2007eb</t>
  </si>
  <si>
    <t>Language attrition.</t>
  </si>
  <si>
    <t>Brenzinger, Matthias</t>
  </si>
  <si>
    <t>Trends in Linguistics. Studies and Monographs</t>
  </si>
  <si>
    <t>Bipolar</t>
  </si>
  <si>
    <t>The Elements of Bipolar</t>
  </si>
  <si>
    <t>RC516 .C37 2005eb</t>
  </si>
  <si>
    <t>Carter, Jay.</t>
  </si>
  <si>
    <t>Sinnformeln</t>
  </si>
  <si>
    <t>Linguistische und soziologische Analysen von Leitbildern, Metaphern und anderen kollektiven Orientierungsmustern</t>
  </si>
  <si>
    <t>P301.5.M48 S57 2003eb</t>
  </si>
  <si>
    <t>Metaphor--Congresses.,Semantics--Congresses.,Signs and symbols--Congresses.,Sociolinguistics--Congresses.</t>
  </si>
  <si>
    <t>Liebert, Wolf-Andreas-Geideck, Susan</t>
  </si>
  <si>
    <t>Linguistik, Impulse &amp; Tendenzen</t>
  </si>
  <si>
    <t>BeitrÃ¤ge zur franzÃ¶sischen Moralistik</t>
  </si>
  <si>
    <t>PQ245 .K78 2003eb</t>
  </si>
  <si>
    <t>Ethics in literature.,Ethics--France.,French literature--17th century--History and criticism.</t>
  </si>
  <si>
    <t>Kruse, Margot.-KoÌˆnig, Bernhard-Kablitz, Andreas.-KuÌˆpper, Joachim.</t>
  </si>
  <si>
    <t>'Wende' und 'Einheit' im Spiegel der deutschsprachigen Literatur</t>
  </si>
  <si>
    <t>Ein Handbuch. Bd 1: Untersuchungen. Bd 2: Bibliographie</t>
  </si>
  <si>
    <t>PT3707 .G78eb bd. 1</t>
  </si>
  <si>
    <t>German literature--20th century--History and criticism.,German literature--Germany (East)--Bibliography.,German literature--Germany (East)--History and criticism.,German literature--Political aspects--Germany (East),Literature and state--Germany (East),Politics and literature--Germany (East)</t>
  </si>
  <si>
    <t>Grub, Frank Thomas.</t>
  </si>
  <si>
    <t>Die deutsche Schriftsprache und die Regionen</t>
  </si>
  <si>
    <t>Enstehungsgeschichtliche Fragen in neuer Sicht</t>
  </si>
  <si>
    <t>PF3074.7 .D48 2003eb</t>
  </si>
  <si>
    <t>German language--History.,German language--Standardization.,German language--Variation.,German language--Written German.,Regionalism--Germany.</t>
  </si>
  <si>
    <t>Berthele, Raphael.</t>
  </si>
  <si>
    <t>Studia linguistica Germanica</t>
  </si>
  <si>
    <t>Die Syntax Notkers des Deutschen in seinen Ãœbersetzungen</t>
  </si>
  <si>
    <t>Boethius, Martianus Capella und Psalmen</t>
  </si>
  <si>
    <t>PF3988.Z4 E45 2003eb</t>
  </si>
  <si>
    <t>Eilers, Helge.</t>
  </si>
  <si>
    <t>Studies in the Textual Criticism of the New Testament</t>
  </si>
  <si>
    <t>BS2325 .E48 2006eb</t>
  </si>
  <si>
    <t>Ehrman, Bart D.</t>
  </si>
  <si>
    <t>New Testament Tools and Studies</t>
  </si>
  <si>
    <t>Protegiendo la biodiversidad</t>
  </si>
  <si>
    <t>leyes nacionales que regulan el acceso a los recursos geneÌticos en el continente americano</t>
  </si>
  <si>
    <t>QH75 .P7618 2001eb</t>
  </si>
  <si>
    <t>Biodiversity conservation--Law and legislation--America.,Conservation of natural resources--Law and legislation--America.,Environmental law--America.</t>
  </si>
  <si>
    <t>Ruiz Muller, Manuel.-Bass, Susan Perkoff.-International Development Research Centre (Canada)</t>
  </si>
  <si>
    <t>La gestion des deÌchets urbains</t>
  </si>
  <si>
    <t>des solutions pour l'Afrique</t>
  </si>
  <si>
    <t>TD790 M3614 1999eb</t>
  </si>
  <si>
    <t>Refuse and refuse disposal--Africa.,Urbanization--Africa.,Urbanization--Environmental aspects--Africa.</t>
  </si>
  <si>
    <t>Onibokun, Adepoju G.-International Development Research Centre (Canada)</t>
  </si>
  <si>
    <t>Career As a Home Health Aide</t>
  </si>
  <si>
    <t>Rapidly Expanding Healthcare Career with Minimal Education Requirements</t>
  </si>
  <si>
    <t>BUSINESS &amp; ECONOMICS / Careers / General</t>
  </si>
  <si>
    <t>RA645.35 .C37 2010eb</t>
  </si>
  <si>
    <t>Home care services--Vocational guidance.,Home health aides--Vocational guidance.,Home nursing--Vocational guidance.</t>
  </si>
  <si>
    <t>Railroad Industry Careers</t>
  </si>
  <si>
    <t>TF145 .R38 2007eb</t>
  </si>
  <si>
    <t>Railroads--Vocational guidance.</t>
  </si>
  <si>
    <t>Careers in Aerospace Engineering</t>
  </si>
  <si>
    <t>Aeronautics - Astronautics</t>
  </si>
  <si>
    <t>TL545 .C36 2007eb</t>
  </si>
  <si>
    <t>Aeronautics--Vocational guidance.,Aerospace engineering--Vocational guidance.,Aerospace engineers.,Astronautics--Vocational guidance.,Engineering--Vocational guidance.,Engineers.</t>
  </si>
  <si>
    <t>Career As a Physicist</t>
  </si>
  <si>
    <t>Studying How the Universe Works and Using Your Knowledge to Play an Integral Part in Future Advances in Medicine, Computers, National Defense, Lasers, Transportation, Energy Efficiency and the Environment</t>
  </si>
  <si>
    <t>QC29 .C37 2006eb</t>
  </si>
  <si>
    <t>Physics--Vocational guidance.,Scientists.</t>
  </si>
  <si>
    <t>Career As a Psychiatrist</t>
  </si>
  <si>
    <t>Medical Doctor</t>
  </si>
  <si>
    <t>RC440.8 .C37 2007eb</t>
  </si>
  <si>
    <t>Mental health personnel.,Mental health services--Vocational guidance.,Psychiatrists.,Psychiatry--Vocational guidance.</t>
  </si>
  <si>
    <t>Careers in Physical Therapy</t>
  </si>
  <si>
    <t>Sports Medicine</t>
  </si>
  <si>
    <t>MEDICAL / Allied Health Services / Occupational Therapy</t>
  </si>
  <si>
    <t>RM735.4 .C37 2007eb</t>
  </si>
  <si>
    <t>Physical therapists.,Physical therapy assistants.,Physical therapy--Vocational guidance.,Sports medicine--Vocational guidance.</t>
  </si>
  <si>
    <t>Career As an Optometrist</t>
  </si>
  <si>
    <t>Doctor of Optometry: Respected Vision Healthcare Professional</t>
  </si>
  <si>
    <t>MEDICAL / Optometry</t>
  </si>
  <si>
    <t>RE959 .C37 2007eb</t>
  </si>
  <si>
    <t>Optometry--Vocational guidance.</t>
  </si>
  <si>
    <t>Elementary Statistics Using JMP</t>
  </si>
  <si>
    <t>QA276.4 .E44 2007eb</t>
  </si>
  <si>
    <t>Computer graphics.,Mathematical statistics--Data processing.</t>
  </si>
  <si>
    <t>Schlotzhauer, Sandra D.</t>
  </si>
  <si>
    <t>An Atlas and Survey of Latin American History</t>
  </si>
  <si>
    <t>G1541.S1 L3 2007eb</t>
  </si>
  <si>
    <t>LaRosa, Michael J.-MejiÌa, GermaÌn R.</t>
  </si>
  <si>
    <t>Net Gain</t>
  </si>
  <si>
    <t>A New Method for Preventing Malaria Deaths</t>
  </si>
  <si>
    <t>RA644.M2 N480 1996eb</t>
  </si>
  <si>
    <t>Insecticides.,Malaria--Prevention.,Mosquitoes--Control.</t>
  </si>
  <si>
    <t>De Savigny, Don.-Cattani, Jacqueline.-Lengeler, Christian-World Health Organization.-International Development Research Centre (Canada)</t>
  </si>
  <si>
    <t>Une santeÌ brancheÌe sur la recherche</t>
  </si>
  <si>
    <t>perspectives du Conseil de la recherche en santeÌ pour le deÌveloppement</t>
  </si>
  <si>
    <t>RA441.5 F6714 2000eb</t>
  </si>
  <si>
    <t>Medical care--Developing countries.,Medical care--Research--Developing countries.,Public health--Developing countries.,Public health--Research--Developing countries.,Public health--Social aspects--Developing countries.,World health.</t>
  </si>
  <si>
    <t>Johnson, Nancy.-International Development Research Centre (Canada)-Neufeld, Victor.</t>
  </si>
  <si>
    <t>Seeding Solutions</t>
  </si>
  <si>
    <t>QK981 .C78 2000eb</t>
  </si>
  <si>
    <t>Biodiversity conservation.,Germplasm resources, Plant.,Patents.,Plant varieties--Protection.,Plants, Cultivated--Patents.</t>
  </si>
  <si>
    <t>International Plant Genetic Resources Institute.-Dag HammarskjoÌˆld Foundation.-International Development Research Centre (Canada)</t>
  </si>
  <si>
    <t>Reshaping Health Care in Latin America</t>
  </si>
  <si>
    <t>A Comparative Analysis of Health Care Reform in Argentina, Brazil and Mexico</t>
  </si>
  <si>
    <t>RA410.55.A7 R36 2000eb</t>
  </si>
  <si>
    <t>Health care reform--Argentina.,Health care reform--Brazil.,Health care reform--Mexico.</t>
  </si>
  <si>
    <t>Teixeira, Sonia M. Fleury-International Development Research Centre (Canada)-Belmartino, Susana.-Baris, Enis.</t>
  </si>
  <si>
    <t>Science, Technology, and Innovation in Chile</t>
  </si>
  <si>
    <t>Q127.C47 S35 2000eb</t>
  </si>
  <si>
    <t>Science and state--Chile.,Technological innovations--Chile.,Technology and state--Chile.</t>
  </si>
  <si>
    <t>Mullin, James</t>
  </si>
  <si>
    <t>Un mur contre la malaria</t>
  </si>
  <si>
    <t>du nouveau dans la preÌvention des deÌceÌ€s dus au paludisme</t>
  </si>
  <si>
    <t>RA644.M2 N4714 1997eb</t>
  </si>
  <si>
    <t>Cattani, Jacqueline.-Lengeler, Christian-De Savigny, Don.-World Health Organization.-International Development Research Centre (Canada)</t>
  </si>
  <si>
    <t>Mining and the Environment</t>
  </si>
  <si>
    <t>Case Studies From the Americas</t>
  </si>
  <si>
    <t>TD195.M5 M564 1999eb</t>
  </si>
  <si>
    <t>Mineral industries--Environmental aspects--America--Case studies.</t>
  </si>
  <si>
    <t>Warhurst, Alyson.-International Development Research Centre (Canada)</t>
  </si>
  <si>
    <t>The Female Client and the Health-care Provider</t>
  </si>
  <si>
    <t>RG940 .F35 1995eb</t>
  </si>
  <si>
    <t>Maternal health services.,Women--Health and hygiene.</t>
  </si>
  <si>
    <t>Vlassoff, Carol.-Roberts, Janet Hatcher.-International Development Research Centre (Canada)</t>
  </si>
  <si>
    <t>The Health Gap</t>
  </si>
  <si>
    <t>Beyond Pregnancy and Reproduction</t>
  </si>
  <si>
    <t>RA564.85 .K55 1996eb</t>
  </si>
  <si>
    <t>Women--Health and hygiene--Developing countries--Congresses.</t>
  </si>
  <si>
    <t>Kitts, Jennifer.-Roberts, Janet Hatcher.-International Development Research Centre (Canada)</t>
  </si>
  <si>
    <t>Navigating Health and Safety Law</t>
  </si>
  <si>
    <t>Ensuring Compliance and Minimising Risk: a Specially Commissioned Report</t>
  </si>
  <si>
    <t>T55 .P67 2007eb</t>
  </si>
  <si>
    <t>Industrial hygiene.,Industrial safety.</t>
  </si>
  <si>
    <t>Pope, Chris.</t>
  </si>
  <si>
    <t>Thorogood Professional Insights</t>
  </si>
  <si>
    <t>Combat Reporter</t>
  </si>
  <si>
    <t>Don Whitehead's World War II Diary and Memoirs</t>
  </si>
  <si>
    <t>D766.82 .W48 2006eb</t>
  </si>
  <si>
    <t>War correspondents--United States--Diaries.,World War, 1939-1945--Campaigns--Africa, North.,World War, 1939-1945--Campaigns--Italy--Sicily.,World War, 1939-1945--Journalists--Diaries.,World War, 1939-1945--Personal narratives, American.</t>
  </si>
  <si>
    <t>Whitehead, Don-Romeiser, John Beals</t>
  </si>
  <si>
    <t>World War II--the Global, Human, and Ethical Dimension</t>
  </si>
  <si>
    <t>A Plausible God</t>
  </si>
  <si>
    <t>Secular Reflections on Liberal Jewish Theology</t>
  </si>
  <si>
    <t>BM610 .S515 2006eb</t>
  </si>
  <si>
    <t>God (Judaism),Judaism--Doctrines.,Liberalism (Religion)</t>
  </si>
  <si>
    <t>Silver, Mitchell.</t>
  </si>
  <si>
    <t>Passing on the Faith</t>
  </si>
  <si>
    <t>Transforming Traditions for the Next Generation of Jews, Christians, and Muslims</t>
  </si>
  <si>
    <t>RELIGION / Ecumenism &amp; Interfaith</t>
  </si>
  <si>
    <t>BL221 .P37 2006eb</t>
  </si>
  <si>
    <t>Christianity.,Islam.,Judaism.,Monotheism.</t>
  </si>
  <si>
    <t>Heft, James.</t>
  </si>
  <si>
    <t>The Abrahamic Dialogues Series</t>
  </si>
  <si>
    <t>Believing Scholars</t>
  </si>
  <si>
    <t>Ten Catholic Intellectuals</t>
  </si>
  <si>
    <t>BX1751.3 .B45 2005eb</t>
  </si>
  <si>
    <t>Abrahamic Dialogues Series</t>
  </si>
  <si>
    <t>Toward a Theology of Eros</t>
  </si>
  <si>
    <t>Transfiguring Passion at the Limits of Discipline</t>
  </si>
  <si>
    <t>BT708 .T69 2006eb</t>
  </si>
  <si>
    <t>Love.,Love--Religious aspects--Christianity.,Sex.,Sex--Religious aspects--Christianity.</t>
  </si>
  <si>
    <t>Keller, Catherine-Burrus, Virginia.</t>
  </si>
  <si>
    <t>Dante and the Origins of Italian Literary Culture</t>
  </si>
  <si>
    <t>PQ4381.2 .B37 2006eb</t>
  </si>
  <si>
    <t>Italian literature--History and criticism.</t>
  </si>
  <si>
    <t>Barolini, Teodolinda</t>
  </si>
  <si>
    <t>Their Other Side</t>
  </si>
  <si>
    <t>Six American Women and the Lure of Italy</t>
  </si>
  <si>
    <t>PS159.I8 B37 2006eb</t>
  </si>
  <si>
    <t>American literature--Women authors--Italian influences.,Women authors, American--19th century--Biography.,Women authors, American--20th century--Biography.,Women authors, American--Homes and haunts--Italy.</t>
  </si>
  <si>
    <t>Barolini, Helen</t>
  </si>
  <si>
    <t>Damascus</t>
  </si>
  <si>
    <t>DS99.D3 B867 2007eb</t>
  </si>
  <si>
    <t>Burns, Ross.</t>
  </si>
  <si>
    <t>Invitation to the Mathematics of Fermat-Wiles</t>
  </si>
  <si>
    <t>Academic Press</t>
  </si>
  <si>
    <t>MATHEMATICS / Number Theory</t>
  </si>
  <si>
    <t>QA244 .H2913 2002eb</t>
  </si>
  <si>
    <t>Curves, Elliptic.,Fermat's last theorem.,Forms, Modular.</t>
  </si>
  <si>
    <t>Hellegouarch, Yves.</t>
  </si>
  <si>
    <t>The Electric Force of a Current</t>
  </si>
  <si>
    <t>Weber and the Surface Charges of Resistive Conductors Carrying Stready Currents</t>
  </si>
  <si>
    <t>QC604 .A87 2007eb</t>
  </si>
  <si>
    <t>Electric circuits.,Electric conductors.,Electromagnetism.,Electrostatics.</t>
  </si>
  <si>
    <t>Assis, AndreÌ Koch Torres-Hernandes, Julio Akashi</t>
  </si>
  <si>
    <t>The A-Z of Health and Safety</t>
  </si>
  <si>
    <t>T55 .S7854 2006eb</t>
  </si>
  <si>
    <t>Boris Godunov and Other Dramatic Works</t>
  </si>
  <si>
    <t>PG3347 .A213 2007eb</t>
  </si>
  <si>
    <t>ÐŸÑƒÑˆÐºÐ¸Ð½, ÐÐ»ÐµÐºÑÐ°Ð½Ð´Ñ€ Ð¡ÐµÑ€Ð³ÐµÐµÐ²Ð¸Ñ‡-Falen, James E.</t>
  </si>
  <si>
    <t>Forging Links for Health Research</t>
  </si>
  <si>
    <t>Perspectives From the Council on Health Research for Development</t>
  </si>
  <si>
    <t>RA441.5 .F67 2001eb</t>
  </si>
  <si>
    <t>Medicine--Research--Developing countries.,Public health--Research--Developing countries.,World health.</t>
  </si>
  <si>
    <t>Neufeld, Vic.-Johnson, Nancy A.</t>
  </si>
  <si>
    <t>Fish's Clinical Psychopathology</t>
  </si>
  <si>
    <t>RC454 .F57 2007eb</t>
  </si>
  <si>
    <t>Fish, F. J.-Casey, Patricia R.-Kelly, Brendan.</t>
  </si>
  <si>
    <t>Reading External Data Files Using SAS</t>
  </si>
  <si>
    <t>Examples Handbook</t>
  </si>
  <si>
    <t>COMPUTERS / System Administration / Storage &amp; Retrieval</t>
  </si>
  <si>
    <t>QA76.9.F53 B87 2002eb</t>
  </si>
  <si>
    <t>File organization (Computer science)</t>
  </si>
  <si>
    <t>Burlew, Michele M.</t>
  </si>
  <si>
    <t>Cities and the Health of the Public</t>
  </si>
  <si>
    <t>RA566.7 .C58 2006eb</t>
  </si>
  <si>
    <t>Urban health.</t>
  </si>
  <si>
    <t>Vlahov, David.-Galea, Sandro.-Freudenberg, Nicholas.</t>
  </si>
  <si>
    <t>Whitewashing Uncle Tom's Cabin</t>
  </si>
  <si>
    <t>Nineteenth-century Women Novelists Respond to Stowe</t>
  </si>
  <si>
    <t>PS374.S58 J67 2005eb</t>
  </si>
  <si>
    <t>African Americans in literature.,American fiction--19th century--History and criticism.,American fiction--White authors--History and criticism.,American fiction--Women authors--History and criticism.,Plantation life in literature.,Slavery in literature.,Women and literature--United States--History--19th century.,Women, White--United States--Intellectual life.</t>
  </si>
  <si>
    <t>Jordan-Lake, Joy</t>
  </si>
  <si>
    <t>The Lives of Women</t>
  </si>
  <si>
    <t>A New History of Inquisitional Spain</t>
  </si>
  <si>
    <t>HQ1693 .V65 2005eb</t>
  </si>
  <si>
    <t>Feminism--Spain--History.,Inquisition--Spain.,Women authors, Spanish.,Women--Spain--History.,Women--Spain--Social conditions.</t>
  </si>
  <si>
    <t>Vollendorf, Lisa.</t>
  </si>
  <si>
    <t>Growing Older in World Cities</t>
  </si>
  <si>
    <t>New York, London, Paris, and Tokyo</t>
  </si>
  <si>
    <t>RA564.8 .G765 2006eb</t>
  </si>
  <si>
    <t>Older people--Long-term care.,Urban health.</t>
  </si>
  <si>
    <t>Gusmano, Michael K.-Rodwin, Victor.</t>
  </si>
  <si>
    <t>Hierarchy, Commerce and Fraud in Bourbon Spanish America</t>
  </si>
  <si>
    <t>A Postal Inspector's ExposeÌ</t>
  </si>
  <si>
    <t>F2221 .H55 2005eb</t>
  </si>
  <si>
    <t>Corruption--Latin America--History--18th century.,Fraud--Latin America--History--18th century.,Oligarchy--Latin America--History--18th century.,Social classes--Latin America--History--18th century.</t>
  </si>
  <si>
    <t>Hill, Ruth</t>
  </si>
  <si>
    <t>Professional Identity Crisis</t>
  </si>
  <si>
    <t>Race, Class, Gender, and Success at Professional Schools</t>
  </si>
  <si>
    <t>LC1059 .C75 2005eb</t>
  </si>
  <si>
    <t>Professional education--Social aspects--United States--Case studies.,Socialization--United States--Case studies.</t>
  </si>
  <si>
    <t>Costello, Carrie Yang</t>
  </si>
  <si>
    <t>Threads From the Web of Life</t>
  </si>
  <si>
    <t>Stories in Natural History</t>
  </si>
  <si>
    <t>QH45.2 .D38 2006eb</t>
  </si>
  <si>
    <t>Black, White, and Catholic</t>
  </si>
  <si>
    <t>New Orleans Interracialism, 1947-1956</t>
  </si>
  <si>
    <t>F380.A1 A53 2005eb</t>
  </si>
  <si>
    <t>Catholics--Louisiana--New Orleans--Attitudes--History--20th century.,Catholics--Louisiana--New Orleans--Social conditions--20th century.</t>
  </si>
  <si>
    <t>Anderson, R. Bentley</t>
  </si>
  <si>
    <t>Aiding Students, Buying Students</t>
  </si>
  <si>
    <t>Financial Aid in America</t>
  </si>
  <si>
    <t>STUDY AIDS / Financial Aid</t>
  </si>
  <si>
    <t>LB2337.4 .W53 2005eb</t>
  </si>
  <si>
    <t>Student aid--United States.,Student aid--United States--History.</t>
  </si>
  <si>
    <t>Wilkinson, Rupert.</t>
  </si>
  <si>
    <t>Felon for Peace</t>
  </si>
  <si>
    <t>The Memoir of a Vietnam-era Draft Resister</t>
  </si>
  <si>
    <t>HISTORY / Military / Vietnam War</t>
  </si>
  <si>
    <t>DS559.8.D7 E46 2005eb</t>
  </si>
  <si>
    <t>Vietnam War, 1961-1975--Draft resisters--United States.</t>
  </si>
  <si>
    <t>Elmer, Jerry</t>
  </si>
  <si>
    <t>The Utopian Nexus in Don Quixote</t>
  </si>
  <si>
    <t>PQ6353 .J45 2006eb</t>
  </si>
  <si>
    <t>Utopias in literature.</t>
  </si>
  <si>
    <t>Jehenson, Myriam Yvonne.-Dunn, Peter N.</t>
  </si>
  <si>
    <t>Properties of Modernity</t>
  </si>
  <si>
    <t>Romantic Spain, Modern Europe, and the Legacies of Empire</t>
  </si>
  <si>
    <t>PQ6071 .I37 2006eb</t>
  </si>
  <si>
    <t>National characteristics, Spanish, in literature.,Romanticism--Spain.,Spanish literature--18th century--History and criticism.,Spanish literature--19th century--History and criticism.</t>
  </si>
  <si>
    <t>Iarocci, Michael P.</t>
  </si>
  <si>
    <t>Can Literature Promote Justice?</t>
  </si>
  <si>
    <t>Trauma Narrative and Social Action in Latin American Testimonio</t>
  </si>
  <si>
    <t>PQ7082.P76 N36 2006eb</t>
  </si>
  <si>
    <t>Latin American prose literature--20th century--History and criticism.,Literature and society--Latin America.</t>
  </si>
  <si>
    <t>Nance, Kimberly A.</t>
  </si>
  <si>
    <t>The Anxiety of Obsolescence</t>
  </si>
  <si>
    <t>The American Novel in the Age of Television</t>
  </si>
  <si>
    <t>PS371 .F58 2006eb</t>
  </si>
  <si>
    <t>American fiction--History and criticism.,Literacy--United States.,Popular culture--United States.,Television broadcasting--United States--Influence.</t>
  </si>
  <si>
    <t>Fitzpatrick, Kathleen</t>
  </si>
  <si>
    <t>The Human Drama of Abortion</t>
  </si>
  <si>
    <t>A Global Search for Consensus</t>
  </si>
  <si>
    <t>HQ767 .F3818 2006eb</t>
  </si>
  <si>
    <t>Abortion--Cross-cultural studies.,Birth control clinics.,Medical policy.,Unwanted pregnancy.,Unwanted pregnancy--Cross-cultural studies.,Women's rights.</t>
  </si>
  <si>
    <t>FauÌndes, AniÌbal-Barzelatto, J.</t>
  </si>
  <si>
    <t>Reproductive Rights in a Global Context</t>
  </si>
  <si>
    <t>South Africa, Uganda, Peru, Denmark, United States, Vietnam, Jordan</t>
  </si>
  <si>
    <t>HQ766 .K65 2006eb</t>
  </si>
  <si>
    <t>Reproductive rights--Cross-cultural studies.</t>
  </si>
  <si>
    <t>Knudsen, Lara M.</t>
  </si>
  <si>
    <t>Psychiatry</t>
  </si>
  <si>
    <t>MEDICAL / Mental Health</t>
  </si>
  <si>
    <t>RC454 .B8435 2006eb</t>
  </si>
  <si>
    <t>Psychiatry.</t>
  </si>
  <si>
    <t>Burns, Tom</t>
  </si>
  <si>
    <t>Medical Ethics</t>
  </si>
  <si>
    <t>MEDICAL / Ethics</t>
  </si>
  <si>
    <t>R724 .H625 2004eb</t>
  </si>
  <si>
    <t>Medical ethics.</t>
  </si>
  <si>
    <t>Hope, R. A.</t>
  </si>
  <si>
    <t>Very Short Introduction</t>
  </si>
  <si>
    <t>Happy About Online Networking</t>
  </si>
  <si>
    <t>The Virtual-ly Simple Way to Build Professional Relationships</t>
  </si>
  <si>
    <t>TK5105.5 .R93 2006eb</t>
  </si>
  <si>
    <t>Computer network resources.,Computer networks.,Success in business.</t>
  </si>
  <si>
    <t>Ryan, Liz.</t>
  </si>
  <si>
    <t>The MCAT Chemistry Book</t>
  </si>
  <si>
    <t>A Comprehensive Review of General Chemistry and Organic Chemistry for the Medical College Admission Test</t>
  </si>
  <si>
    <t>R838.5 .A79 2006eb</t>
  </si>
  <si>
    <t>Chemistry--Examinations--Study guides.,Medical colleges--United States--Entrance examinations--Study guides.</t>
  </si>
  <si>
    <t>Aryangat, Ajikumar.</t>
  </si>
  <si>
    <t>The MCAT Physics Book</t>
  </si>
  <si>
    <t>MEDICAL / Test Preparation &amp; Review</t>
  </si>
  <si>
    <t>R838.5 .B54 2005eb</t>
  </si>
  <si>
    <t>Medical College Admission Test--Study guides.,Medical colleges--United States--Entrance examinations--Study guides.,Physics--Examinations--Study guides.</t>
  </si>
  <si>
    <t>Biehle, Garrett.</t>
  </si>
  <si>
    <t>Prep Course Ser</t>
  </si>
  <si>
    <t>The MCAT Biology Book</t>
  </si>
  <si>
    <t>R838.5 .M33 2006eb</t>
  </si>
  <si>
    <t>Biology--Examinations--Study guides.,Medical College Admission Test--Study guides.,Medical colleges--United States--Entrance examinations--Study guides.</t>
  </si>
  <si>
    <t>Morvillo, Nancy.-Schmidt, Matthew.</t>
  </si>
  <si>
    <t>Sensory Stimulation</t>
  </si>
  <si>
    <t>Sensory-Focused Activities for People with Physical and Multiple Disabilities</t>
  </si>
  <si>
    <t>EDUCATION / Special Education / General</t>
  </si>
  <si>
    <t>RC489.A72 F692 2007eb</t>
  </si>
  <si>
    <t>Active learning.,Arts--Therapeutic use.,People with disabilities--Rehabilitation.,Perceptual-motor learning.,Sensory stimulation.</t>
  </si>
  <si>
    <t>Fowler, Susan-Scope (Victoria)</t>
  </si>
  <si>
    <t>AJKP Resource Materials</t>
  </si>
  <si>
    <t>Decision Trees for Business Intelligence and Data Mining</t>
  </si>
  <si>
    <t>Using SAS Enterprise Miner</t>
  </si>
  <si>
    <t>COMPUTERS / Intelligence (AI) &amp; Semantics</t>
  </si>
  <si>
    <t>QA76.9.D343 D48 2006eb</t>
  </si>
  <si>
    <t>Business intelligence--Computer programs.,Data mining--Computer programs.,Decision trees--Computer programs.,Forecasting--Computer programs.,Regression analysis.</t>
  </si>
  <si>
    <t>De Ville, Barry.</t>
  </si>
  <si>
    <t>Pharmaceutical Statistics Using SAS</t>
  </si>
  <si>
    <t>RM301.27 .P53 2007eb</t>
  </si>
  <si>
    <t>Clinical pharmacology.,Clinical trials.,Drug development.,Drugs--Testing--Statistical methods.,Pharmacology.</t>
  </si>
  <si>
    <t>Dmitrienko, Alex.-Chuang-Stein, Christy.-D'Agostino, Ralph B.</t>
  </si>
  <si>
    <t>Power, Sex, Suicide</t>
  </si>
  <si>
    <t>Mitochondria and the Meaning of Life</t>
  </si>
  <si>
    <t>QH603.M5 L36 2005eb</t>
  </si>
  <si>
    <t>Energy metabolism.,Eukaryotic cells--Evolution.,Mitochondria.,Mitochondrial DNA.</t>
  </si>
  <si>
    <t>Lane, Nick.</t>
  </si>
  <si>
    <t>Places in the Bone</t>
  </si>
  <si>
    <t>PS3554.I468 Z469 2005eb</t>
  </si>
  <si>
    <t>Adult child abuse victims--United States--Biography.,Cancer--Patients--United States--Biography.,Poets, American--20th century--Biography.</t>
  </si>
  <si>
    <t>Dine, Carol.</t>
  </si>
  <si>
    <t>DRAMA / Ancient &amp; Classical</t>
  </si>
  <si>
    <t>PA4414.E5 C37 2001eb</t>
  </si>
  <si>
    <t>Sophocles.-Carson, Anne-Shaw, Michael Hearne</t>
  </si>
  <si>
    <t>The Greek Tragedy in New Translations</t>
  </si>
  <si>
    <t>Social Work Practice</t>
  </si>
  <si>
    <t>Concepts, Processes, and Interviewing</t>
  </si>
  <si>
    <t>HV40 .B5465 2006eb</t>
  </si>
  <si>
    <t>Interviewing in social service.,Social service.</t>
  </si>
  <si>
    <t>Bogo, Marion.</t>
  </si>
  <si>
    <t>Career As a Computer Repair Technician</t>
  </si>
  <si>
    <t>COMPUTERS / Hardware / Personal Computers / PCs</t>
  </si>
  <si>
    <t>TK7887 .C37 2007eb</t>
  </si>
  <si>
    <t>Computer service industry--Vocational guidance.,Computer technical support--Vocational guidance.,Computers--Maintenance and repair--Vocational guidance.</t>
  </si>
  <si>
    <t>Super Imperialism</t>
  </si>
  <si>
    <t>The Origin and Fundamentals of U.S. World Dominance</t>
  </si>
  <si>
    <t>HF1455 .H782 2003eb</t>
  </si>
  <si>
    <t>Imperialism.,International finance.</t>
  </si>
  <si>
    <t>Hudson, Michael</t>
  </si>
  <si>
    <t>Gender Politics</t>
  </si>
  <si>
    <t>POLITICAL SCIENCE / Political Process / Political Advocacy</t>
  </si>
  <si>
    <t>HQ73 .M58 2005</t>
  </si>
  <si>
    <t>Gender identity.,Gender identity--Political aspects.,Gender nonconformity.,Sexual minorities.</t>
  </si>
  <si>
    <t>Monro, Surya.</t>
  </si>
  <si>
    <t>Career As a Certified Nurse-midwife (CNM), Certified Midwife (CM), Obstetric and Neonatal Nurse (RN)</t>
  </si>
  <si>
    <t>Ensuring Safe and Healthy Pregnancies, Deliveries and Afterbirths</t>
  </si>
  <si>
    <t>RG950 .C37 2007eb</t>
  </si>
  <si>
    <t>Maternity nursing--Vocational guidance--United States.,Midwifery--Vocational guidance--United States.,Newborn infants--Diseases--Nursing--Vocational guidance.,Nursing--Vocational guidance--United States.</t>
  </si>
  <si>
    <t>A Career As a Hospitalist, Inpatient Physician</t>
  </si>
  <si>
    <t>Fastest Growing Healthcare Specialty: These Doctors Provide Total Acute Care Management for Patients While They Are in Hospitals</t>
  </si>
  <si>
    <t>R690 .C37 2007eb</t>
  </si>
  <si>
    <t>Hospitals--Medical staff--United States.,Medical care--Vocational guidance--United States.,Physicians--Vocational guidance--United States.</t>
  </si>
  <si>
    <t>A Career As an Environmental Engineer</t>
  </si>
  <si>
    <t>Using Technology to Help Save the Planet</t>
  </si>
  <si>
    <t>TD156 .C37 2007eb</t>
  </si>
  <si>
    <t>Ecology--Vocational guidance.,Environmental engineering--Vocational guidance.,Environmental protection--Vocational guidance.</t>
  </si>
  <si>
    <t>Careers in Complementary and Alternative Medicine</t>
  </si>
  <si>
    <t>Chiropractors, Traditional Chinese Medicine, Biofeedback Technicians, Naturopaths, Neuromuscular Message Therapists: Holistic Approach to Disease Prevention</t>
  </si>
  <si>
    <t>HEALTH &amp; FITNESS / Healing</t>
  </si>
  <si>
    <t>R733 .C37 2007eb</t>
  </si>
  <si>
    <t>Alternative medicine--Vocational guidance.,Chiropractic--Vocational guidance.,Holistic medicine--Vocational guidance.,Massage therapy--Vocational guidance.,Medicine, Chinese--Vocational guidance--United States.,Naturopathy--Vocational guidance.</t>
  </si>
  <si>
    <t>Careers in Emergency Medical Services</t>
  </si>
  <si>
    <t>EMT-- Paramedic, Care, Rescue and Transportation: Helping People in Their Worst Hour of Need</t>
  </si>
  <si>
    <t>MEDICAL / Allied Health Services / Emergency Medical Services</t>
  </si>
  <si>
    <t>RA645.5 .C37 2007eb</t>
  </si>
  <si>
    <t>Allied health personnel--Vocational guidance.,Emergency medical technicians--Vocational guidance.,Emergency medicine--Vocational guidance.</t>
  </si>
  <si>
    <t>Career As an Industrial Production Manager</t>
  </si>
  <si>
    <t>Making the Manufacturing Process Happen From Counter Tops to Comic Books, Towels to Taco Shells</t>
  </si>
  <si>
    <t>TS155 C37 2006eb</t>
  </si>
  <si>
    <t>Industrial management--Vocational guidance.,Production management--Vocational guidance.</t>
  </si>
  <si>
    <t>Careers in Health Information Technology</t>
  </si>
  <si>
    <t>Medical Records Specialists</t>
  </si>
  <si>
    <t>MEDICAL / Medical History &amp; Records</t>
  </si>
  <si>
    <t>RA976 .C37 2007eb</t>
  </si>
  <si>
    <t>Hospital records--Data processing--Vocational guidance.,Medical care--Vocational guidance.,Medical record personnel.,Medical records--Data processing--Vocational guidance.,Medical records--Management--Vocational guidance.,Personal information management--Vocational guidance.</t>
  </si>
  <si>
    <t>Careers in Medical Research</t>
  </si>
  <si>
    <t>Finding Cures for Paralysis: Spinal Cord Injuries, Stroke, Multiple Sclerosis, Cerebral Palsy, Amyotrophic Lateral Sclerosis: Unlocking the Mysteries of the Brain and Fixing a Broken Body</t>
  </si>
  <si>
    <t>R850 .C37 2007eb</t>
  </si>
  <si>
    <t>Medicine--Research--Vocational guidance.,Paralysis--Research--Vocational guidance.</t>
  </si>
  <si>
    <t>Career As a Professional Photographer</t>
  </si>
  <si>
    <t>Commercial, Corporate and Industrial, Fashion, Fine Art, Forensic, Portrait, Scientific, Medical, Stock, Wildlife and Nature</t>
  </si>
  <si>
    <t>PHOTOGRAPHY / Commercial</t>
  </si>
  <si>
    <t>TR154 .C37 2007eb</t>
  </si>
  <si>
    <t>Commercial photography--Vocational guidance.,Fashion photography--Vocational guidance.,Legal photography--Vocational guidance.,Medical photography--Vocational guidance.,Nature photography--Vocational guidance.,Photography, Industrial--Vocational guidance.,Photography--Vocational guidance.,Portrait photography--Vocational guidance.,Stock photography--Vocational guidance.,Wildlife photography--Vocational guidance.</t>
  </si>
  <si>
    <t>Teacher Identity Discourses</t>
  </si>
  <si>
    <t>Negotiating Personal and Professional Spaces</t>
  </si>
  <si>
    <t>LB1777 .A48 2005eb</t>
  </si>
  <si>
    <t>High school teachers--Training of.,Teachers--Professional relationships.</t>
  </si>
  <si>
    <t>Alsup, Janet.</t>
  </si>
  <si>
    <t>NCTE-LEA Research Series in Literacy and Composition</t>
  </si>
  <si>
    <t>The Ground of the Image</t>
  </si>
  <si>
    <t>B2430.N363 A9413 2005eb</t>
  </si>
  <si>
    <t>Aesthetics.,Image (Philosophy)</t>
  </si>
  <si>
    <t>SAS Inventory Optimization 1.3</t>
  </si>
  <si>
    <t>User's Guide</t>
  </si>
  <si>
    <t>COMPUTERS / Mathematical &amp; Statistical Software</t>
  </si>
  <si>
    <t>TS160 .S27 2006eb</t>
  </si>
  <si>
    <t>Inventory control--Data processing.</t>
  </si>
  <si>
    <t>SAS Institute.</t>
  </si>
  <si>
    <t>Einstein and PoincarÃ©</t>
  </si>
  <si>
    <t>The Physical Vacuum</t>
  </si>
  <si>
    <t>QC173.6 .E36 2006eb</t>
  </si>
  <si>
    <t>Ether (Space),Relativity (Physics)</t>
  </si>
  <si>
    <t>Dvoeglazov, Valeri V.</t>
  </si>
  <si>
    <t>Water Resources</t>
  </si>
  <si>
    <t>Health, Environment and Development</t>
  </si>
  <si>
    <t>CRC Press (CAM)</t>
  </si>
  <si>
    <t>CRC Press</t>
  </si>
  <si>
    <t>RA591.5 .W385 1999eb</t>
  </si>
  <si>
    <t>Vector control--Congresses.,Water quality management.,Water quality management--Congresses.,Water resources development.,Water resources development--Environmental aspects--Congresses.,Water resources development--Health aspects--Congresses.,Water-supply--Environmental aspects--Congresses.,Water-supply--Health aspects--Congresses.,Water-supply--Management.</t>
  </si>
  <si>
    <t>Kay, Brian H.</t>
  </si>
  <si>
    <t>The Commercial Engineer's Desktop Guide</t>
  </si>
  <si>
    <t>TA190 .B69 2001eb</t>
  </si>
  <si>
    <t>Engineering--Management--Handbooks, manuals, etc.</t>
  </si>
  <si>
    <t>Boyce, Tim.</t>
  </si>
  <si>
    <t>RC685.H8 Y43eb vol. 6</t>
  </si>
  <si>
    <t>Hypertension</t>
  </si>
  <si>
    <t>Brunner, Hans.</t>
  </si>
  <si>
    <t>Therapeutic Strategies in Thrombosis</t>
  </si>
  <si>
    <t>RC694.3 .T44 2006eb</t>
  </si>
  <si>
    <t>Thrombosis--Treatment.</t>
  </si>
  <si>
    <t>Kristensen, S. D.-De Caterina, R.-Moliterno, David J.</t>
  </si>
  <si>
    <t>The Year in Respiratory Medicine</t>
  </si>
  <si>
    <t>RC731 .Y43eb vol. 3</t>
  </si>
  <si>
    <t>Respiratory organs--Diseases.</t>
  </si>
  <si>
    <t>Fergusson, R.</t>
  </si>
  <si>
    <t>Therapeutic Strategies in Lymphoid Malignancies</t>
  </si>
  <si>
    <t>An Immunotherapeutic Approach</t>
  </si>
  <si>
    <t>RC280.L9 T44 2005eb</t>
  </si>
  <si>
    <t>Cancer--Immunotherapy.,Lymphatics--Cancer.</t>
  </si>
  <si>
    <t>Hillmen, Peter.-Witzig, Thomas E.</t>
  </si>
  <si>
    <t>Allergy</t>
  </si>
  <si>
    <t>RC584 .A44 2005eb</t>
  </si>
  <si>
    <t>Allergy--Diagnosis--Atlases.,Allergy--Treatment--Atlases.</t>
  </si>
  <si>
    <t>Arshad, S. Hasan.</t>
  </si>
  <si>
    <t>Osteoarthritis</t>
  </si>
  <si>
    <t>RC931.O67 J66 2005eb</t>
  </si>
  <si>
    <t>Osteoarthritis--Diagnosis.,Osteoarthritis--Treatment.</t>
  </si>
  <si>
    <t>Jones, Adrian-Doherty, M.</t>
  </si>
  <si>
    <t>The Year in Therapeutics</t>
  </si>
  <si>
    <t>RM300 .Y43eb vol. 1</t>
  </si>
  <si>
    <t>Drugs.,Pharmacology.,Therapeutics.</t>
  </si>
  <si>
    <t>Webb, David J.-Paterson, Kenneth R.-Flockhart, David A.</t>
  </si>
  <si>
    <t>The Year in Post-menopausal Health</t>
  </si>
  <si>
    <t>RC48.6 Y43 2004eb</t>
  </si>
  <si>
    <t>Women--Diseases.,Women--Diseases--Treatment.</t>
  </si>
  <si>
    <t>Keith, Louis G.-Rees, Margaret</t>
  </si>
  <si>
    <t>Religious Behaviour</t>
  </si>
  <si>
    <t>BL53 .A74 1958eb</t>
  </si>
  <si>
    <t>Psychology, Religious.</t>
  </si>
  <si>
    <t>Argyle, Michael.</t>
  </si>
  <si>
    <t>The International Library of Sociology</t>
  </si>
  <si>
    <t>Political Worship</t>
  </si>
  <si>
    <t>Ethics for Christian Citizens</t>
  </si>
  <si>
    <t>RELIGION / Christian Rituals &amp; Practice / Worship &amp; Liturgy</t>
  </si>
  <si>
    <t>BV15 .W34 2004eb</t>
  </si>
  <si>
    <t>Christian ethics.,Public worship.</t>
  </si>
  <si>
    <t>Wannenwetsch, Bernd</t>
  </si>
  <si>
    <t>Oxford Studies in Theological Ethics</t>
  </si>
  <si>
    <t>Career As a Computer Support Specialist</t>
  </si>
  <si>
    <t>Enabling Business and Individual Users to Navigate Increasingly Complex Technology, Testing New Software for Reliability</t>
  </si>
  <si>
    <t>QA76.25 .C37 2006eb</t>
  </si>
  <si>
    <t>Computer programming--Vocational guidance--United States.,Computer service industry--Vocational guidance--United States.,Computer software--Testing--Vocational guidance--United States.,Computer technical support--Vocational guidance--United States.,Electronic data processing personnel--Vocational guidance--United States.,Electronic data processing--Vocational guidance--United States.</t>
  </si>
  <si>
    <t>Healthcare Careers for Doctors Specializing in Allergies - Asthma Immunology</t>
  </si>
  <si>
    <t>Asthma Health Educator, Respiratory Therapist: Critical Need to Treat Over 17 Million Americans with Asthma and 150 Million with Allergies</t>
  </si>
  <si>
    <t>RC582 .H43 2006eb</t>
  </si>
  <si>
    <t>Allergists.,Allergy--Immunological aspects--Vocational guidance.,Asthma--Immunological aspects--Vocational guidance.,Health education.,Immunologists.,Immunology--Vocational guidance.,Respiratory therapists.,Respiratory therapy--Vocational guidance.</t>
  </si>
  <si>
    <t>Nursing Careers in Critical Care, Acute Care, High-tech Home Care</t>
  </si>
  <si>
    <t>MEDICAL / Critical Care</t>
  </si>
  <si>
    <t>RT120.I5 N87 2006eb</t>
  </si>
  <si>
    <t>Home care services--Vocational guidance--United States.,Intensive care nursing--Vocational guidance--United States.,Nursing--Vocational guidance--United States.</t>
  </si>
  <si>
    <t>Careers in Genetics Research</t>
  </si>
  <si>
    <t>Cell Biology</t>
  </si>
  <si>
    <t>QH439 .C37 2006eb</t>
  </si>
  <si>
    <t>Cytology--Vocational guidance.,Genetic engineering--Vocational guidance.,Genetics--Research--Vocational guidance.,Genetics--Vocational guidance.</t>
  </si>
  <si>
    <t>Careers in Rehabilitation Medicine</t>
  </si>
  <si>
    <t>Doctors, Nurses, Therapists</t>
  </si>
  <si>
    <t>RM930 .C37 2006eb</t>
  </si>
  <si>
    <t>Medical rehabilitation--Vocational guidance.</t>
  </si>
  <si>
    <t>Career As an Automobile Service Technician</t>
  </si>
  <si>
    <t>Master Mechanic, Repair Shop Owner</t>
  </si>
  <si>
    <t>TRANSPORTATION / Automotive / Repair &amp; Maintenance</t>
  </si>
  <si>
    <t>TL152 .C37 2006eb</t>
  </si>
  <si>
    <t>Automobile mechanics.,Automobile repair shops--Management--Vocational guidance.,Automobiles--Maintenance and repair--Vocational guidance.,Motor vehicles--Maintenance and repair--Vocational guidance.</t>
  </si>
  <si>
    <t>Career As an Industrial Engineer</t>
  </si>
  <si>
    <t>Efficiency Experts, Safety Engineers, Ergonomics Engineers, Environmental Health Engineers</t>
  </si>
  <si>
    <t>T56.3 .C37 2006eb</t>
  </si>
  <si>
    <t>Industrial engineering--Vocational guidance--United States.</t>
  </si>
  <si>
    <t>A Career As a Baker</t>
  </si>
  <si>
    <t>Growing Demand for Gourmet Breads and Premium Pastries</t>
  </si>
  <si>
    <t>TX763 .C37 2002eb</t>
  </si>
  <si>
    <t>Baked products industry--Vocational guidance--United States.,Baking--Vocational guidance--United States.</t>
  </si>
  <si>
    <t>Career As a Carpenter, Contractor</t>
  </si>
  <si>
    <t>Building a Strong Future</t>
  </si>
  <si>
    <t>TECHNOLOGY &amp; ENGINEERING / Construction / Carpentry</t>
  </si>
  <si>
    <t>TH5608.8 .C37 2006eb</t>
  </si>
  <si>
    <t>Building trades--Vocational guidance--United States.,Carpentry--Vocational guidance--United States.,Construction industry--Vocational guidance--United States.</t>
  </si>
  <si>
    <t>SAS for Mixed Models, Second Edition</t>
  </si>
  <si>
    <t>QA276.4 .S27 2006eb</t>
  </si>
  <si>
    <t>Computer science.,Electronic data processing.,Mathematical statistics--Data processing.,Statistics.</t>
  </si>
  <si>
    <t>Littell, Ramon C.</t>
  </si>
  <si>
    <t>Midwives' Tales</t>
  </si>
  <si>
    <t>Stories of Traditional and Professional Birthing in Samoa</t>
  </si>
  <si>
    <t>RG950 .M544 2005eb</t>
  </si>
  <si>
    <t>Birth customs--Samoa.,Childbirth--Samoa.,Midwifery--Samoa.</t>
  </si>
  <si>
    <t>Barclay, Lesley.</t>
  </si>
  <si>
    <t>Parenting and Professing</t>
  </si>
  <si>
    <t>Balancing Family Work with an Academic Career</t>
  </si>
  <si>
    <t>LB2332.32 .P37 2005eb</t>
  </si>
  <si>
    <t>Parenting--Social aspects--United States--Case studies.,Women college teachers--Family relationships--United States--Case studies.,Women college teachers--United States--Social conditions--Case studies.,Working mothers--United States--Case studies.</t>
  </si>
  <si>
    <t>Bassett, Rachel Hile</t>
  </si>
  <si>
    <t>It Shouldn't Be This Way</t>
  </si>
  <si>
    <t>The Failure of Long-term Care</t>
  </si>
  <si>
    <t>FAMILY &amp; RELATIONSHIPS / Eldercare</t>
  </si>
  <si>
    <t>RA997 .K355 2005eb</t>
  </si>
  <si>
    <t>Caregivers--United States--Biography.,Frail elderly--Care--United States--Case studies.,Frail elderly--Family relationships--United States--Case studies.,Frail elderly--United States--Biography.,Long-term care facilities--United States--Case studies.,Older people--Long-term care--United States--Case studies.</t>
  </si>
  <si>
    <t>Kane, Robert L.-West, Joan C.</t>
  </si>
  <si>
    <t>Hispanic Baroques</t>
  </si>
  <si>
    <t>Reading Cultures in Context</t>
  </si>
  <si>
    <t>PQ6064 .H57 2005eb</t>
  </si>
  <si>
    <t>Baroque literature--History and criticism.,Spanish literature--Classical period, 1500-1700--History and criticism.</t>
  </si>
  <si>
    <t>Spadaccini, Nicholas.-MartÃ­n-Estudillo, Luis.</t>
  </si>
  <si>
    <t>Ideologies of Hispanism</t>
  </si>
  <si>
    <t>CB226 .I345 2005eb</t>
  </si>
  <si>
    <t>Civilization, Hispanic.</t>
  </si>
  <si>
    <t>MoraÃ±a, Mabel.</t>
  </si>
  <si>
    <t>Symptoms of Unknown Origin</t>
  </si>
  <si>
    <t>A Medical Odyssey</t>
  </si>
  <si>
    <t>RC66 .M43 2005eb</t>
  </si>
  <si>
    <t>Clinical medicine--Case studies.,Diagnostic errors.,Medical misconceptions.,Medicine--Philosophy.</t>
  </si>
  <si>
    <t>Meador, Clifton K.</t>
  </si>
  <si>
    <t>Understanding and Communicating Social Informatics</t>
  </si>
  <si>
    <t>A Framework for Studying and Teaching the Human Contexts of Information and Communication Technologies</t>
  </si>
  <si>
    <t>QA76.9.C66 K54 2005eb</t>
  </si>
  <si>
    <t>Computers and civilization.</t>
  </si>
  <si>
    <t>Kling, Rob.-Rosenbaum, Howard.-Sawyer, Steve</t>
  </si>
  <si>
    <t>Identity of England</t>
  </si>
  <si>
    <t>DA118 .C627 2002eb</t>
  </si>
  <si>
    <t>National characteristics, English.</t>
  </si>
  <si>
    <t>Colls, Robert.</t>
  </si>
  <si>
    <t>Revolutionary France</t>
  </si>
  <si>
    <t>1788-1880</t>
  </si>
  <si>
    <t>DC148 .R4886 2002eb</t>
  </si>
  <si>
    <t>Crook, Malcolm</t>
  </si>
  <si>
    <t>The Short Oxford History of France</t>
  </si>
  <si>
    <t>Magic Universe</t>
  </si>
  <si>
    <t>A Grand Tour of Modern Science</t>
  </si>
  <si>
    <t>Q125 .C286 2005eb</t>
  </si>
  <si>
    <t>Discoveries in science.,Science.,Science--History--20th century.</t>
  </si>
  <si>
    <t>Calder, Nigel.</t>
  </si>
  <si>
    <t>A Career As a Registered Nurse (RN)</t>
  </si>
  <si>
    <t>Helping Others by Combining Science with Compassion</t>
  </si>
  <si>
    <t>RT82 .C37 2006eb</t>
  </si>
  <si>
    <t>Nursing--Vocational guidance.</t>
  </si>
  <si>
    <t>Cardiovascular Technologist</t>
  </si>
  <si>
    <t>Healthcare Technician Assisting Physicians: Diagnosing and Treating Heart Disease</t>
  </si>
  <si>
    <t>RC669 .C37 2006eb</t>
  </si>
  <si>
    <t>Cardiology--Vocational guidance.,Medical technology--Vocational guidance.</t>
  </si>
  <si>
    <t>Career As a Database Administrator</t>
  </si>
  <si>
    <t>Computer science--Vocational guidance.,Database management--Vocational guidance.,Information technology--Vocational guidance.</t>
  </si>
  <si>
    <t>Career As a Podiatrist</t>
  </si>
  <si>
    <t>Doctor Specializing in Foot Healthcare</t>
  </si>
  <si>
    <t>RD563 .C37 2006eb</t>
  </si>
  <si>
    <t>Podiatry--Vocational guidance.</t>
  </si>
  <si>
    <t>Careers in Reproductive Healthcare</t>
  </si>
  <si>
    <t>Medical Doctors, Nurses, Technologists Devoted to Helping Couples Enjoy the Blessing of Children</t>
  </si>
  <si>
    <t>RC889 .C37 2006eb</t>
  </si>
  <si>
    <t>Human reproduction--Endocrine aspects--Vocational guidance.,Laboratory technicians--Vocational guidance.,Reproduction--Endocrine aspects--Vocational guidance.,Reproductive health--Vocational guidance.</t>
  </si>
  <si>
    <t>Careers in Zoos and Aquariums</t>
  </si>
  <si>
    <t>TECHNOLOGY &amp; ENGINEERING / Agriculture / Animal Husbandry</t>
  </si>
  <si>
    <t>QL50.5 .C37 2006eb</t>
  </si>
  <si>
    <t>Animal specialists--Vocational guidance.,Aquariums, Public--Vocational guidance.,Wildlife conservation--Vocational guidance.,Zoology--Vocational guidance.,Zoos--Vocational guidance.</t>
  </si>
  <si>
    <t>Career As a Dentist</t>
  </si>
  <si>
    <t>Increasing Demand Reported for These High Prestige, High Earning Healthcare Professionals</t>
  </si>
  <si>
    <t>RK60 .C37 2006eb</t>
  </si>
  <si>
    <t>Dentistry--Vocational guidance.</t>
  </si>
  <si>
    <t>Heirs of the Fisherman</t>
  </si>
  <si>
    <t>Behind the Scenes of Papal Death and Succession</t>
  </si>
  <si>
    <t>RELIGION / Leadership</t>
  </si>
  <si>
    <t>BX1805 .P45 2004eb</t>
  </si>
  <si>
    <t>Popes--Election--History.</t>
  </si>
  <si>
    <t>Pham, John-Peter.</t>
  </si>
  <si>
    <t>The New American Militarism</t>
  </si>
  <si>
    <t>How Americans Are Seduced by War</t>
  </si>
  <si>
    <t>HISTORY / Military / Wars &amp; Conflicts (Other)</t>
  </si>
  <si>
    <t>UA23 .B14 2005eb</t>
  </si>
  <si>
    <t>Conservatism--United States--History--21st century.,Militarism--United States--History--21st century.</t>
  </si>
  <si>
    <t>Bacevich, A. J.</t>
  </si>
  <si>
    <t>Managing Water Demand</t>
  </si>
  <si>
    <t>Policies, Practices and Lessons From the Middle East and North Africa</t>
  </si>
  <si>
    <t>TD313.5 .M36 2005eb</t>
  </si>
  <si>
    <t>Water conservation--Africa, North.,Water conservation--Middle East.,Water use--Africa, North.,Water use--Middle East.,Water-supply--Africa, North.,Water-supply--Middle East.</t>
  </si>
  <si>
    <t>Baroudy, Ellysar.-Lahlou, Abderrafii Abid.-Attia, Bayoumi.</t>
  </si>
  <si>
    <t>Cassandra's Daughter</t>
  </si>
  <si>
    <t>PS3558.A62428 C37 2005eb</t>
  </si>
  <si>
    <t>Making Morality</t>
  </si>
  <si>
    <t>Pragmatist Reconstruction in Ethical Theory</t>
  </si>
  <si>
    <t>BJ1031 .L45 2003eb</t>
  </si>
  <si>
    <t>Ethics.,Pragmatism.</t>
  </si>
  <si>
    <t>Lekan, Todd</t>
  </si>
  <si>
    <t>The Vanderbilt Library of American Philosophy</t>
  </si>
  <si>
    <t>To Give Their Gifts</t>
  </si>
  <si>
    <t>Health, Community, and Democracy</t>
  </si>
  <si>
    <t>RA445 .C68 2002eb</t>
  </si>
  <si>
    <t>Civic leaders--United States.,Community health services--United States.</t>
  </si>
  <si>
    <t>Couto, Richard A.-Eken, Stephanie C.</t>
  </si>
  <si>
    <t>Fateful Shapes of Human Freedom</t>
  </si>
  <si>
    <t>John William Miller and the Crises of Modernity</t>
  </si>
  <si>
    <t>B945.M4764 C65 2003eb</t>
  </si>
  <si>
    <t>Colapietro, Vincent Michael</t>
  </si>
  <si>
    <t>Beyond Realism and Antirealism</t>
  </si>
  <si>
    <t>John Dewey and the Neopragmatists</t>
  </si>
  <si>
    <t>B944.P72 H55 2003eb</t>
  </si>
  <si>
    <t>Philosophy, American.,Pragmatism.,Realism.</t>
  </si>
  <si>
    <t>Hildebrand, David L.</t>
  </si>
  <si>
    <t>Exile and Cultural Hegemony</t>
  </si>
  <si>
    <t>Spanish Intellectuals in Mexico, 1939-1975</t>
  </si>
  <si>
    <t>F1392.S7 F23 2002eb</t>
  </si>
  <si>
    <t>Intellectuals--Mexico--Attitudes.,Nationalism--Spain--History--20th century.,Pan-Hispanism.,Political refugees--Mexico--History--20th century.,Political refugees--Spain--History--20th century.,Politics and culture--Spain--History--20th century.,Spaniards--Mexico--Intellectual life--20th century.</t>
  </si>
  <si>
    <t>Faber, Sebastiaan</t>
  </si>
  <si>
    <t>Healing by Heart</t>
  </si>
  <si>
    <t>Clinical and Ethical Case Stories of Hmong Families and Western Providers</t>
  </si>
  <si>
    <t>RA448.5.A83 H43 2003eb</t>
  </si>
  <si>
    <t>Hmong Americans--Medical care--Case studies.</t>
  </si>
  <si>
    <t>Culhane-Pera, Kathie.</t>
  </si>
  <si>
    <t>Divine Beauty</t>
  </si>
  <si>
    <t>The Aesthetics of Charles Hartshorne</t>
  </si>
  <si>
    <t>B945.H354 D645 2004eb</t>
  </si>
  <si>
    <t>Aesthetics, Modern--20th century.</t>
  </si>
  <si>
    <t>Dombrowski, Daniel A.</t>
  </si>
  <si>
    <t>Islam and Social Policy</t>
  </si>
  <si>
    <t>RELIGION / Islam / Theology</t>
  </si>
  <si>
    <t>BP173.25 I738 2004eb</t>
  </si>
  <si>
    <t>Islam and social problems.,Islam--Charities.,Islamic sociology.,Islam--Social aspects.</t>
  </si>
  <si>
    <t>Heyneman, Stephen P.</t>
  </si>
  <si>
    <t>Going Coed</t>
  </si>
  <si>
    <t>Women's Experiences in Formerly Men's Colleges and Universities, 1950-2000</t>
  </si>
  <si>
    <t>LB3066 .G65 2004eb</t>
  </si>
  <si>
    <t>Coeducation--United States--History--20th century.,Women college students--United States--History--20th century.</t>
  </si>
  <si>
    <t>Miller-Bernal, Leslie-Poulson, Susan L.</t>
  </si>
  <si>
    <t>Music Scenes</t>
  </si>
  <si>
    <t>Local, Translocal and Virtual</t>
  </si>
  <si>
    <t>MUSIC / Genres &amp; Styles / Pop Vocal</t>
  </si>
  <si>
    <t>ML3470 .M895 2004eb</t>
  </si>
  <si>
    <t>Popular music--History and criticism.</t>
  </si>
  <si>
    <t>Bennett, Andy-Peterson, Richard A.</t>
  </si>
  <si>
    <t>On Our Own, Together</t>
  </si>
  <si>
    <t>Peer Programs for People with Mental Illness</t>
  </si>
  <si>
    <t>RC480.5 .O495 2005eb</t>
  </si>
  <si>
    <t>Mentally ill--Rehabilitation.,Mentally ill--Services for.,Peer counseling in rehabilitation.,Self-help groups.</t>
  </si>
  <si>
    <t>Recommandations relatives au transport des marchandises dangereuses</t>
  </si>
  <si>
    <t>manuel d'Ã©preuves et de critÃ¨res</t>
  </si>
  <si>
    <t>T55.3.H3 .U55eb Amend.1</t>
  </si>
  <si>
    <t>Hazardous substances--Testing.,Hazardous substances--Transportation.,Hazardous substances--Transportation--Law and legislation.,Lithium cells--Testing.,Lithium cells--Transportation.,Lithium cells--Transportation--Law and legislation.</t>
  </si>
  <si>
    <t>Careers in Farming, Agriculture-- Agribusiness</t>
  </si>
  <si>
    <t>TECHNOLOGY &amp; ENGINEERING / Agriculture / Agronomy / General</t>
  </si>
  <si>
    <t>S494.5.A4 C26 2005eb</t>
  </si>
  <si>
    <t>Agricultural industries--Vocational guidance.,Agriculture--Vocational guidance.</t>
  </si>
  <si>
    <t>Careers in Information Technology Management</t>
  </si>
  <si>
    <t>The World Runs on Information Provided by These Computer Experts: You May Rise to the Top Corporate Job of CIO (chief Information Officer)</t>
  </si>
  <si>
    <t>QA76.25 C37 2005eb</t>
  </si>
  <si>
    <t>Computer science--Vocational guidance.,Information technology--Management--Vocational guidance.,Information technology--Vocational guidance.</t>
  </si>
  <si>
    <t>Careers in Digital Film and Video Production</t>
  </si>
  <si>
    <t>Use Your Visual Arts and Technical Talent to Join This Creative Wave of the Future, From Features to TV Commercials to Industrial Training Videos, Great Opportunities for New Talent</t>
  </si>
  <si>
    <t>TR860 .C37 2005eb</t>
  </si>
  <si>
    <t>Digital cinematography--Vocational guidance.,Digital video--Editing--Vocational guidance.,Video tapes--Editing--Vocational guidance.</t>
  </si>
  <si>
    <t>Careers in Scientific Computing</t>
  </si>
  <si>
    <t>Conduct Research Into Fundamental Science As Theorist, Designer, Inventor</t>
  </si>
  <si>
    <t>QA76.25 .C37 2005eb</t>
  </si>
  <si>
    <t>Computer science--Vocational guidance.</t>
  </si>
  <si>
    <t>Careers in the Landscape Nursery Business</t>
  </si>
  <si>
    <t>Landscaper, Landscape Contractor: Use Your Love of Plants and Gardening to Start and Own Your Own Business</t>
  </si>
  <si>
    <t>S472.5 .C37 2005eb</t>
  </si>
  <si>
    <t>Landscape nurseries--Management--Vocational guidance.,Landscaping industry--Vocational guidance.,Nurseries (Horticulture)--Vocational guidance.</t>
  </si>
  <si>
    <t>Careers in Satellite Communications, Technology and Engineering</t>
  </si>
  <si>
    <t>TK5102 .C37 2005eb</t>
  </si>
  <si>
    <t>Internet--Vocational guidance.,Satellite earth stations industry--Vocational guidance.,Telecommunication equipment industry--Vocational guidance.,Telecommunication--Vocational guidance.</t>
  </si>
  <si>
    <t>Career As a Physician Assistant</t>
  </si>
  <si>
    <t>High Level Professionals Working Directly with Doctors in Delivering Healthcare</t>
  </si>
  <si>
    <t>R697.P45 C37 2005eb</t>
  </si>
  <si>
    <t>Physicians' assistants--Vocational guidance.</t>
  </si>
  <si>
    <t>Careers in Camera Shops</t>
  </si>
  <si>
    <t>Photography Retailing and Service Industry: Turn Your Hobby Into Your Life's Work</t>
  </si>
  <si>
    <t>TR154 .C37 2005eb</t>
  </si>
  <si>
    <t>Photography--Vocational guidance.,Retail trade--Vocational guidance.,Selling--Cameras--Vocational guidance.</t>
  </si>
  <si>
    <t>Careers in Service Station Operation</t>
  </si>
  <si>
    <t>Serving the Needs of Travelers Nationwide: Opportunity to Own Your Own Business</t>
  </si>
  <si>
    <t>TL153 .C37 2005eb</t>
  </si>
  <si>
    <t>Automobile repair shops--Management--Vocational guidance.,Automobiles--Maintenance and repair--Vocational guidance.,Service stations--Management--Vocational guidance.</t>
  </si>
  <si>
    <t>Fatherhood Arrested</t>
  </si>
  <si>
    <t>Parenting From Within the Juvenile Justice System</t>
  </si>
  <si>
    <t>HV9104 .N87 2002eb</t>
  </si>
  <si>
    <t>Absentee fathers--Rehabilitation--United States.,Children of prisoners--United States.,Father and child--United States.,Juvenile delinquents--Rehabilitation--United States.,Juvenile parole--United States.,Parenting--Study and teaching--United States.,Teenage fathers--Rehabilitation--United States.</t>
  </si>
  <si>
    <t>The Clinton Wars</t>
  </si>
  <si>
    <t>The Constitution, Congress, and War Powers</t>
  </si>
  <si>
    <t>KF5060 .H46 2002eb</t>
  </si>
  <si>
    <t>War and emergency powers--United States--History.</t>
  </si>
  <si>
    <t>Hendrickson, Ryan C.</t>
  </si>
  <si>
    <t>Cervantes in Algiers</t>
  </si>
  <si>
    <t>A Captive's Tale</t>
  </si>
  <si>
    <t>PQ6338.A6 G37 2002eb</t>
  </si>
  <si>
    <t>Islam--Relations--Christianity.</t>
  </si>
  <si>
    <t>GarcÃ©s, MarÃ­a Antonia.</t>
  </si>
  <si>
    <t>Self-made Men</t>
  </si>
  <si>
    <t>Identity and Embodiment Among Transsexual Men</t>
  </si>
  <si>
    <t>HQ77.9 .R83 2003eb</t>
  </si>
  <si>
    <t>Female-to-male transsexuals.,Female-to-male transsexuals--Identity.</t>
  </si>
  <si>
    <t>Rubin, Henry</t>
  </si>
  <si>
    <t>Reinventing Care</t>
  </si>
  <si>
    <t>Assisted Living in New York City</t>
  </si>
  <si>
    <t>RA564.8 .S63 2003eb</t>
  </si>
  <si>
    <t>Older people--Long-term care--New York (State)--New York.</t>
  </si>
  <si>
    <t>Smith, David Barton.</t>
  </si>
  <si>
    <t>Ordinary Enchantments</t>
  </si>
  <si>
    <t>Magical Realism and the Remystification of Narrative</t>
  </si>
  <si>
    <t>PN56.M24 F37 2004eb</t>
  </si>
  <si>
    <t>Fiction--20th century--History and criticism.,Magic realism (Literature)</t>
  </si>
  <si>
    <t>Faris, Wendy B.</t>
  </si>
  <si>
    <t>Gender and Nation in the Spanish Modernist Novel</t>
  </si>
  <si>
    <t>PQ6144 .J585 2003eb</t>
  </si>
  <si>
    <t>Modernism (Literature)--Spain.,National characteristics, Spanish, in literature.,Sex role in literature.,Spanish fiction--20th century--History and criticism.</t>
  </si>
  <si>
    <t>Johnson, Roberta</t>
  </si>
  <si>
    <t>Through Survivors' Eyes</t>
  </si>
  <si>
    <t>From the Sixties to the Greensboro Massacre</t>
  </si>
  <si>
    <t>F264.G8 B468 2003eb</t>
  </si>
  <si>
    <t>Civil rights workers--North Carolina--Greensboro--Interviews.,Massacres--North Carolina--Greensboro--History--20th century.,Political activists--North Carolina--Greensboro--Interviews.,Riots--North Carolina--Greensboro--History--20th century.</t>
  </si>
  <si>
    <t>Bermanzohn, Sally A.</t>
  </si>
  <si>
    <t>Becoming a Visible Man</t>
  </si>
  <si>
    <t>HQ77.8.G35 G74 2004eb</t>
  </si>
  <si>
    <t>Gender identity--United States.,Sex role--United States.,Transsexuals--United States--Biography.</t>
  </si>
  <si>
    <t>Green, Jamison</t>
  </si>
  <si>
    <t>Herman Melville's Whaling Years</t>
  </si>
  <si>
    <t>PS2386 .H38 2004eb</t>
  </si>
  <si>
    <t>Americans--Oceania--History--19th century.,Novelists, American--19th century--Biography.,Whalers (Persons)--United States--Biography.,Whaling--Oceania--History--19th century.</t>
  </si>
  <si>
    <t>Heflin, Wilson L.-Edwards, Mary K. Bercaw.-Heffernan, Thomas Farel</t>
  </si>
  <si>
    <t>Gertrude Stein and the Essence of What Happens</t>
  </si>
  <si>
    <t>PS3537.T323 Z96 2005eb</t>
  </si>
  <si>
    <t>Conversation in literature.,Dialogue.,Interpersonal communication in literature.,Meaning (Philosophy) in literature.,Speech in literature.</t>
  </si>
  <si>
    <t>Watson, Dana Cairns</t>
  </si>
  <si>
    <t>Confucius and the Analects</t>
  </si>
  <si>
    <t>New Essays</t>
  </si>
  <si>
    <t>PL2471.Z7 C65 2002eb</t>
  </si>
  <si>
    <t>Van Norden, Bryan W.</t>
  </si>
  <si>
    <t>Teaching Freud</t>
  </si>
  <si>
    <t>BF175.4.R44 T43 2003eb</t>
  </si>
  <si>
    <t>Psychiatry and religion.</t>
  </si>
  <si>
    <t>Jonte-Pace, Diane E.</t>
  </si>
  <si>
    <t>American Academy of Religion Teaching Religious Studies Series</t>
  </si>
  <si>
    <t>The Size of Nations</t>
  </si>
  <si>
    <t>MIT Press</t>
  </si>
  <si>
    <t>JC364 .A39 2003eb</t>
  </si>
  <si>
    <t>States, Size of.</t>
  </si>
  <si>
    <t>Alesina, Alberto.-Spolaore, Enrico.</t>
  </si>
  <si>
    <t>Preserving the Dnipro River</t>
  </si>
  <si>
    <t>Harmony, History and Rehabilitation</t>
  </si>
  <si>
    <t>QH77.U38 P73 2005eb</t>
  </si>
  <si>
    <t>Water quality management--Dnieper River.</t>
  </si>
  <si>
    <t>Schevchuk, Vasyl Yakovych.</t>
  </si>
  <si>
    <t>Careers in the US Department of Agriculture</t>
  </si>
  <si>
    <t>You Can Become an Important Part of the USDA, a Vital Resource for Farmers and All Who Are Interested in Agriculture, Preservation of Wildlife, Nutrition, and Economic Growth</t>
  </si>
  <si>
    <t>S494.5.A4 C37 2005eb</t>
  </si>
  <si>
    <t>Agriculture--Vocational guidance.,Civil service positions--United States.,Nutrition--Vocational guidance.,Wildlife conservation--Vocational guidance.</t>
  </si>
  <si>
    <t>A Career As a Dental Hygienist</t>
  </si>
  <si>
    <t>Helping People Achieve and Maintain Optimal Oral Health</t>
  </si>
  <si>
    <t>RK60.5 C37 2005eb</t>
  </si>
  <si>
    <t>Dental hygiene--Vocational guidance.</t>
  </si>
  <si>
    <t>Career As an Analytical Chemist</t>
  </si>
  <si>
    <t>QD39.5 C37 2005eb</t>
  </si>
  <si>
    <t>Analytical biochemistry--Vocational guidance.,Chemistry, Analytic--Vocational guidance.,Chemistry--Vocational guidance.</t>
  </si>
  <si>
    <t>Early Modern European Society</t>
  </si>
  <si>
    <t>HN373 .K293 2000eb</t>
  </si>
  <si>
    <t>Kamen, Henry.</t>
  </si>
  <si>
    <t>Extensions of Quantum Physics</t>
  </si>
  <si>
    <t>SCIENCE / Physics / Quantum Theory</t>
  </si>
  <si>
    <t>QC174.12 .E98 2002eb</t>
  </si>
  <si>
    <t>Quantum theory.,Tunneling (Physics)</t>
  </si>
  <si>
    <t>KapusÌcik, Edward-Horzela, Andrzej</t>
  </si>
  <si>
    <t>Advanced Drug Design And Development: A Medicinal Chemistry Approach</t>
  </si>
  <si>
    <t>A Medicinal Chemistry Approach</t>
  </si>
  <si>
    <t>Taylor &amp; Francis</t>
  </si>
  <si>
    <t>RS420 .A38 1994eb</t>
  </si>
  <si>
    <t>Drugs--Design.,Pharmaceutical chemistry--Research--Methodology.</t>
  </si>
  <si>
    <t>Kourounakis, P. N.-Rekka, E. A.</t>
  </si>
  <si>
    <t>Ellis Horwood Series in Pharmaceutical Technology</t>
  </si>
  <si>
    <t>The United States and the Caribbean</t>
  </si>
  <si>
    <t>Transforming Hegemony and Sovereignty</t>
  </si>
  <si>
    <t>F2178.U6 M332 2005eb</t>
  </si>
  <si>
    <t>Globalization.</t>
  </si>
  <si>
    <t>Maingot, Anthony P.-Lozano, Wilfredo</t>
  </si>
  <si>
    <t>Contemporary Inter-American Relations</t>
  </si>
  <si>
    <t>Salud</t>
  </si>
  <si>
    <t>un enfoque ecosistÃ©mico</t>
  </si>
  <si>
    <t>RA565 .L4218 2005eb</t>
  </si>
  <si>
    <t>Ecological disturbances--Health aspects.,Environmental degradation--Health aspects.,Environmental health--Citizen participation.,Environmental health--Research.</t>
  </si>
  <si>
    <t>Lebel, Jean-International Development Research Centre (Canada)</t>
  </si>
  <si>
    <t>ColecciÃ³n En foco</t>
  </si>
  <si>
    <t>La santÃ©</t>
  </si>
  <si>
    <t>une approche Ã©cosystÃ©mique</t>
  </si>
  <si>
    <t>RA565 L4214 2003eb</t>
  </si>
  <si>
    <t>Ecological disturbances--Health aspects.,Environmental degradation--Health aspects.,Environmental health--Citizen participation.,Environmental health--Research.,Public health--Citizen participation.</t>
  </si>
  <si>
    <t>Health</t>
  </si>
  <si>
    <t>An Ecosystem Approach</t>
  </si>
  <si>
    <t>RA565 .L4 2003eb</t>
  </si>
  <si>
    <t>La rÃ©forme du systÃ¨me de santÃ©</t>
  </si>
  <si>
    <t>RA395.T34 F5914 2004eb</t>
  </si>
  <si>
    <t>Health planning--Developing countries.,Health planning--Tanzania.,Medical policy--Tanzania.,Rural health--Tanzania.</t>
  </si>
  <si>
    <t>De Savigny, Don.-International Development Research Centre (Canada)</t>
  </si>
  <si>
    <t>RA395.T34 F55 2004eb</t>
  </si>
  <si>
    <t>Health care reform--Tanzania.,Health planning--Tanzania.,Medical care--Tanzania--Evaluation.,Medical cooperation--Tanzania.,Medical policy--Tanzania.</t>
  </si>
  <si>
    <t>Ensayos toxicoloÌgicos y meÌtodos de evaluacioÌn de calidad de aguas</t>
  </si>
  <si>
    <t>estandarizacioÌn, intercalibracioÌn, resultados y aplicaciones</t>
  </si>
  <si>
    <t>TD227.5 .E57 2004eb</t>
  </si>
  <si>
    <t>Water quality--Latin America.,Water--Analysis.</t>
  </si>
  <si>
    <t>Castillo Morales, Gabriela.-WaterTox.-International Development Research Centre (Canada)-Instituto Mexicano de TecnologÃ­a del Agua.</t>
  </si>
  <si>
    <t>Jean-Pierre Vigier and the Stochastic Interpretation of Quantum Mechanics</t>
  </si>
  <si>
    <t>QC174.17.S76 V54 2000eb</t>
  </si>
  <si>
    <t>Quantum theory.,Stochastic processes.</t>
  </si>
  <si>
    <t>Vigier, Jean-Pierre-Jeffers, Stanley.</t>
  </si>
  <si>
    <t>Origin of Inertia</t>
  </si>
  <si>
    <t>Extended Mach's Principle and Cosmological Consequences</t>
  </si>
  <si>
    <t>QC137 .G48 2000eb</t>
  </si>
  <si>
    <t>Celestial mechanics.,Inertia (Mechanics),Mach's principle.</t>
  </si>
  <si>
    <t>Ghosh, A.</t>
  </si>
  <si>
    <t>Kids and Health Care</t>
  </si>
  <si>
    <t>Using Insurance, Cash and Government Programs to Make Sure Your Children Get the Best Doctors, Hospitals and Treatments Possible</t>
  </si>
  <si>
    <t>Silver Lake Publishing</t>
  </si>
  <si>
    <t>RA412.2 .K52 2004eb</t>
  </si>
  <si>
    <t>Health insurance--United States.,Managed care plans (Medical care)--United States.,Medicaid.</t>
  </si>
  <si>
    <t>SAS Guide to Report Writing</t>
  </si>
  <si>
    <t>QA276.4 .B87 2005eb</t>
  </si>
  <si>
    <t>Report writing.</t>
  </si>
  <si>
    <t>Burlew, Michele M.-SAS Institute.</t>
  </si>
  <si>
    <t>Winning the Outsourcing Game</t>
  </si>
  <si>
    <t>Making the Best Deals and Making Them Work</t>
  </si>
  <si>
    <t>Auerbach Publications</t>
  </si>
  <si>
    <t>HF5548.2 .W4765 2000eb</t>
  </si>
  <si>
    <t>Electronic data processing departments--Contracting out.,Information resources management.</t>
  </si>
  <si>
    <t>Butler, Janet G.</t>
  </si>
  <si>
    <t>Best Practices Series</t>
  </si>
  <si>
    <t>A Technical Guide to IPSec Virtual Private Networks</t>
  </si>
  <si>
    <t>COMPUTERS / Networking / General</t>
  </si>
  <si>
    <t>TK5105.875.E87 T55 2001eb</t>
  </si>
  <si>
    <t>Extranets (Computer networks)--Security measures.,IPSec (Computer network protocol)</t>
  </si>
  <si>
    <t>Tiller, James S.</t>
  </si>
  <si>
    <t>Seeing Red</t>
  </si>
  <si>
    <t>Redshifts, Cosmology and Academic Science</t>
  </si>
  <si>
    <t>QB465 .A76 1998eb</t>
  </si>
  <si>
    <t>Galaxies.,Quasars.,Red shift.</t>
  </si>
  <si>
    <t>Arp, Halton C.</t>
  </si>
  <si>
    <t>Teaching, Learning and the Curriculum in Secondary Schools</t>
  </si>
  <si>
    <t>A Reader</t>
  </si>
  <si>
    <t>LB1607.53.G7 T43 2002eb</t>
  </si>
  <si>
    <t>Education, Secondary--Great Britain.,Education--Curricula--Great Britain.,High school teaching--Great Britain.</t>
  </si>
  <si>
    <t>Moon, Bob-Mayes, Ann Shelton-Hutchinson, Steven.</t>
  </si>
  <si>
    <t>Open University Flexible Postgraduate Certificate of Education</t>
  </si>
  <si>
    <t>Relational Mechanics</t>
  </si>
  <si>
    <t>QC125.2 A88 1999eb</t>
  </si>
  <si>
    <t>Gravitation.,Inertia (Mechanics),Mechanics.</t>
  </si>
  <si>
    <t>Gravitation, Electromagnetism and Cosmology</t>
  </si>
  <si>
    <t>Toward a New Synthesis</t>
  </si>
  <si>
    <t>QB981 .G73 2001eb</t>
  </si>
  <si>
    <t>Cosmology.,Electromagnetism.,Gravitation.</t>
  </si>
  <si>
    <t>Rudnicki, Konrad.</t>
  </si>
  <si>
    <t>Catalogue of Discordant Redshift Associations</t>
  </si>
  <si>
    <t>QB857 .A75 2003eb</t>
  </si>
  <si>
    <t>Galaxies--Catalogs.,Galaxies--Clusters.,Quasars.,Red shift.</t>
  </si>
  <si>
    <t>Einstein and the Ether</t>
  </si>
  <si>
    <t>QC177 .K67 2000eb</t>
  </si>
  <si>
    <t>Ether (Space)--History--20th century.,General relativity (Physics)</t>
  </si>
  <si>
    <t>Kostro, Ludwik.</t>
  </si>
  <si>
    <t>Pushing Gravity</t>
  </si>
  <si>
    <t>New Perspectives on Le Sage's Theory of Gravitation</t>
  </si>
  <si>
    <t>QC178 .P87 2002eb</t>
  </si>
  <si>
    <t>Gravitation.</t>
  </si>
  <si>
    <t>Edwards, Matthew R.</t>
  </si>
  <si>
    <t>Mach's Principle and the Origin of Inertia</t>
  </si>
  <si>
    <t>QC137 .I58 2002eb</t>
  </si>
  <si>
    <t>General relativity (Physics)--Congresses.,Inertia (Mechanics)--Congresses.,Mach's principle--Congresses.</t>
  </si>
  <si>
    <t>Sachs, Mendel.-Roy, A. R.</t>
  </si>
  <si>
    <t>Open Questions in Relativistic Physics</t>
  </si>
  <si>
    <t>QC173.5 O64 1998eb</t>
  </si>
  <si>
    <t>Relativity (Physics)</t>
  </si>
  <si>
    <t>Selleri, Franco.</t>
  </si>
  <si>
    <t>From Galileo to Lorentz -- and Beyond</t>
  </si>
  <si>
    <t>Principles of a Fundamental Theory of Space and Time</t>
  </si>
  <si>
    <t>QC173.59.S65 L48 2003eb</t>
  </si>
  <si>
    <t>Space and time.</t>
  </si>
  <si>
    <t>LÃ©vy, Joseph</t>
  </si>
  <si>
    <t>What Is the Electron?</t>
  </si>
  <si>
    <t>QC793.5.E62 W48 2005eb</t>
  </si>
  <si>
    <t>Electrons.</t>
  </si>
  <si>
    <t>Simulik, V. M.</t>
  </si>
  <si>
    <t>Careers in Medical and Scientific Illustration</t>
  </si>
  <si>
    <t>MEDICAL / Atlases</t>
  </si>
  <si>
    <t>R836 .C37 2005eb</t>
  </si>
  <si>
    <t>Art--Vocational guidance.,Medical illustration--Vocational guidance.,Scientific illustration--Vocational guidance.</t>
  </si>
  <si>
    <t>Institute for Career Research (Chicago, Ill.)</t>
  </si>
  <si>
    <t>Careers in Cosmetology</t>
  </si>
  <si>
    <t>Hair Stylists, Makeup Artists, Skincare Experts</t>
  </si>
  <si>
    <t>HEALTH &amp; FITNESS / Beauty &amp; Grooming</t>
  </si>
  <si>
    <t>TT958 C27 2005</t>
  </si>
  <si>
    <t>Beauty culture--Vocational guidance.</t>
  </si>
  <si>
    <t>Computer Security Management</t>
  </si>
  <si>
    <t>QA76.9.A25 .C66 2005eb</t>
  </si>
  <si>
    <t>Computer security--Vocational guidance.,Computer service industry--Management--Vocational guidance.,Information technology--Vocational guidance.</t>
  </si>
  <si>
    <t>Career As a Naturalist</t>
  </si>
  <si>
    <t>Wildlife Conservation Professionals</t>
  </si>
  <si>
    <t>QL82 .C37 2005eb</t>
  </si>
  <si>
    <t>Animal welfare--Vocational guidance.,Wildlife conservation--Vocational guidance.</t>
  </si>
  <si>
    <t>Career As a Community Health Nurse, Public Health Nurse</t>
  </si>
  <si>
    <t>MEDICAL / Home Care</t>
  </si>
  <si>
    <t>RT98 .C37 2005eb</t>
  </si>
  <si>
    <t>Community health nursing--Vocational guidance.,Nursing--Vocational guidance.,Public health nursing--Vocational guidance.</t>
  </si>
  <si>
    <t>A Career in Fashion</t>
  </si>
  <si>
    <t>Merchandising and Marketing Management</t>
  </si>
  <si>
    <t>TT507 .C37 2005eb</t>
  </si>
  <si>
    <t>Clothing trade--Vocational guidance.,Fashion merchandising--Vocational guidance.,Fashion--Vocational guidance.,Retail trade--Vocational guidance.</t>
  </si>
  <si>
    <t>A Career As a Photojournalist, News Photographer</t>
  </si>
  <si>
    <t>Photography--Vocational guidance.,Photojournalism--Vocational guidance.</t>
  </si>
  <si>
    <t>The Handbook of Attitudes</t>
  </si>
  <si>
    <t>Psychology Press</t>
  </si>
  <si>
    <t>BUSINESS &amp; ECONOMICS / Consumer Behavior</t>
  </si>
  <si>
    <t>BF327 .H36 2005eb</t>
  </si>
  <si>
    <t>Attitude (Psychology)</t>
  </si>
  <si>
    <t>Albarracin, Dolores-Johnson, Blair T.-Zanna, Mark P.</t>
  </si>
  <si>
    <t>Genetic Analysis of Complex Traits Using SAS</t>
  </si>
  <si>
    <t>QH452.7 .G46 2004eb</t>
  </si>
  <si>
    <t>Molecular genetics.,Quantitative genetics.</t>
  </si>
  <si>
    <t>Saxton, Arnold Myron-SAS Institute.</t>
  </si>
  <si>
    <t>Leisure and Pleasure</t>
  </si>
  <si>
    <t>Reshaping and Revealing the New Zealand Body 1900-1960</t>
  </si>
  <si>
    <t>BF697.5.B63 D35 2003eb</t>
  </si>
  <si>
    <t>Body image--New Zealand--History.,Body, Human--Social aspects--New Zealand.,Physical fitness--New Zealand--History.</t>
  </si>
  <si>
    <t>Employment Relationships</t>
  </si>
  <si>
    <t>New Zealand's Employment Relations Act</t>
  </si>
  <si>
    <t>KUQ1220 .E47 2004eb</t>
  </si>
  <si>
    <t>Labor laws and legislation--New Zealand.</t>
  </si>
  <si>
    <t>Rasmussen, Erling Juul.</t>
  </si>
  <si>
    <t>Employment for Individuals with Asperger Syndrome or Non-Verbal Learning Disability</t>
  </si>
  <si>
    <t>Stories and Strategies</t>
  </si>
  <si>
    <t>HV3005 .F37 2004eb</t>
  </si>
  <si>
    <t>Asperger's syndrome--Patients--Vocational guidance.,Learning disabled--Vocational guidance.,Nonverbal learning disabilities.,People with mental disabilities--Employment.,People with mental disabilities--Vocational guidance.</t>
  </si>
  <si>
    <t>Fast, Yvona</t>
  </si>
  <si>
    <t>Transitional Justice</t>
  </si>
  <si>
    <t>K5250 .T45 2001eb</t>
  </si>
  <si>
    <t>Ex post facto laws.,Justice and politics.,Political crimes and offenses.,Restorative justice.</t>
  </si>
  <si>
    <t>Teitel, Ruti G.</t>
  </si>
  <si>
    <t>His Invention So Fertile</t>
  </si>
  <si>
    <t>A Life of Christopher Wren</t>
  </si>
  <si>
    <t>ARCHITECTURE / Individual Architects &amp; Firms / Monographs</t>
  </si>
  <si>
    <t>NA997.W8 T56 2001beb</t>
  </si>
  <si>
    <t>Architects--Great Britain--Biography.</t>
  </si>
  <si>
    <t>Tinniswood, Adrian.</t>
  </si>
  <si>
    <t>Assessing the Nation's Earthquakes</t>
  </si>
  <si>
    <t>The Health and Future of Regional Seismograph Networks</t>
  </si>
  <si>
    <t>National Academies Press</t>
  </si>
  <si>
    <t>NATURE / Natural Disasters</t>
  </si>
  <si>
    <t>QE540.U6 A88 1990eb</t>
  </si>
  <si>
    <t>Earthquakes--United States.,Seismological stations--United States.</t>
  </si>
  <si>
    <t>National Research Council (U.S.).</t>
  </si>
  <si>
    <t>Multivariate Data Reduction and Discrimination with SAS Software</t>
  </si>
  <si>
    <t>QA278 .K473 2000eb</t>
  </si>
  <si>
    <t>Multivariate analysis--Data processing.</t>
  </si>
  <si>
    <t>Khattree, Ravindra.-Naik, Dayanand N.</t>
  </si>
  <si>
    <t>Applied Multivariate Statistics with SAS Software</t>
  </si>
  <si>
    <t>QA278 .K43 1999eb</t>
  </si>
  <si>
    <t>Multivariate analysis--Data processing.,Multivariate analysis--Graphic methods.,Regression analysis.</t>
  </si>
  <si>
    <t>Compendium of International Arrangements on Transfer of Technology</t>
  </si>
  <si>
    <t>Selected Instruments: Relevant Provisions in Selected International Arrangements Pertaining to Transfer of Technology</t>
  </si>
  <si>
    <t>T174.3 .C663x 2001eb</t>
  </si>
  <si>
    <t>Technology transfer--Developing countries.</t>
  </si>
  <si>
    <t>United Nations Conference on Trade and Development.</t>
  </si>
  <si>
    <t>Guidelines and Practices in Evaluation and Development of Industrial Minerals and Offshore Aggregates in Asia</t>
  </si>
  <si>
    <t>TN799.7.A78 .G85 2001eb</t>
  </si>
  <si>
    <t>Aggregates (Building materials)--Asia--Congresses.,Industrial minerals industry--Asia--Congresses.,Industrial minerals--Asia--Congresses.</t>
  </si>
  <si>
    <t>United Nations.-Coordinating Committee for Coastal and Offshore Geoscience Programmes in East and Southeast Asia.</t>
  </si>
  <si>
    <t>Mineral Concentrations and Hydrocarbon Accumulations in the ESCAP Region</t>
  </si>
  <si>
    <t>Report on the Improvement of the Management of Radiation Protection Aspects in the Recycling of Metal Scrap</t>
  </si>
  <si>
    <t>TS214 .R476 2002eb</t>
  </si>
  <si>
    <t>Radiation--Safety measures.,Scrap metals--Recycling--Health aspects.</t>
  </si>
  <si>
    <t>United Nations.-European Commission.-International Atomic Energy Agency.</t>
  </si>
  <si>
    <t>SAS Survival Analysis Techniques for Medical Research</t>
  </si>
  <si>
    <t>R853.S7 C365 2003eb</t>
  </si>
  <si>
    <t>Medicine--Research--Statistical methods.,Survival analysis (Biometry)--Data processing.</t>
  </si>
  <si>
    <t>Cantor, Alan</t>
  </si>
  <si>
    <t>Step-by-step Basic Statistics Using SAS</t>
  </si>
  <si>
    <t>QA276.4eb</t>
  </si>
  <si>
    <t>Mathematical statistics--Data processing.</t>
  </si>
  <si>
    <t>Hatcher, Larry.-SAS Institute.</t>
  </si>
  <si>
    <t>Religious and Spiritual Issues in Counseling</t>
  </si>
  <si>
    <t>Applications Across Diverse Populations</t>
  </si>
  <si>
    <t>PSYCHOLOGY / Psychotherapy / Counseling</t>
  </si>
  <si>
    <t>BF637.C6 B805 2005eb</t>
  </si>
  <si>
    <t>Counseling--Religious aspects.,Spirituality--Psychology.</t>
  </si>
  <si>
    <t>Burke, Mary Thomas.-Chauvin, Jane C.-Miranti, Judith G.</t>
  </si>
  <si>
    <t>The Social Psychology of Ethnic Identity</t>
  </si>
  <si>
    <t>GN495.6 .V48 2005eb</t>
  </si>
  <si>
    <t>Ethnicity.,Ethnopsychology.,Social psychology.</t>
  </si>
  <si>
    <t>Verkuyten, M.</t>
  </si>
  <si>
    <t>European Monographs in Social Psychology</t>
  </si>
  <si>
    <t>International Economics Sixth Edition</t>
  </si>
  <si>
    <t>HF1359 .D86 2004eb</t>
  </si>
  <si>
    <t>International economic relations.</t>
  </si>
  <si>
    <t>Dunn, Robert M.-Mutti, John H.</t>
  </si>
  <si>
    <t>Genre and Television</t>
  </si>
  <si>
    <t>From Cop Shows to Cartoons in American Culture</t>
  </si>
  <si>
    <t>PERFORMING ARTS / Television / History &amp; Criticism</t>
  </si>
  <si>
    <t>PN1992.3.U5 M55 2004eb</t>
  </si>
  <si>
    <t>Television program genres--United States.,Television serials--United States.</t>
  </si>
  <si>
    <t>Mittell, Jason.</t>
  </si>
  <si>
    <t>10 Insider Secrets to a Winning Job Search</t>
  </si>
  <si>
    <t>Everything You Need to Get the Job You Want in 24 Hours or Less</t>
  </si>
  <si>
    <t>HF5382.7 .B465 2004eb</t>
  </si>
  <si>
    <t>Employment interviewing.,Job hunting--Handbooks, manuals, etc.</t>
  </si>
  <si>
    <t>Bermont, Todd</t>
  </si>
  <si>
    <t>Toward a Containment Strategy for Smallpox Bioterror</t>
  </si>
  <si>
    <t>An Individual-based Computational Approach</t>
  </si>
  <si>
    <t>RA644.S6 T69 2004eb</t>
  </si>
  <si>
    <t>Bioterrorism--Computer simulation.,Epidemics--Prevention--Computer simulation.,Smallpox--Epidemiology--Computer simulation.</t>
  </si>
  <si>
    <t>Epstein, Joshua M.</t>
  </si>
  <si>
    <t>Regional Security in the Middle East</t>
  </si>
  <si>
    <t>Past Present and Future</t>
  </si>
  <si>
    <t>JZ6009.M628 B55 2005eb</t>
  </si>
  <si>
    <t>National security--Middle East.,Security, International.</t>
  </si>
  <si>
    <t>Bilgin, Pinar</t>
  </si>
  <si>
    <t>RoutledgeCurzon Advances in Middle East and Islamic Studies</t>
  </si>
  <si>
    <t>Musicology: The Key Concepts</t>
  </si>
  <si>
    <t>ML3797 .B35 2005eb</t>
  </si>
  <si>
    <t>Musicology.</t>
  </si>
  <si>
    <t>Beard, David.-Gloag, Kenneth.</t>
  </si>
  <si>
    <t>Routledge Key Guides</t>
  </si>
  <si>
    <t>A Culture of Conspiracy</t>
  </si>
  <si>
    <t>Apocalyptic Visions in Contemporary America</t>
  </si>
  <si>
    <t>BL503.2 .B37 2003eb</t>
  </si>
  <si>
    <t>Conspiracies--United States.,Human-alien encounters--United States.,Millennialism--United States.</t>
  </si>
  <si>
    <t>Barkun, Michael.</t>
  </si>
  <si>
    <t>Comparative Studies in Religion and Society</t>
  </si>
  <si>
    <t>SASÂ® for Monte Carlo Studies</t>
  </si>
  <si>
    <t>A Guide for Quantitative Researchers</t>
  </si>
  <si>
    <t>QC174.85.M64 S37 2002eb</t>
  </si>
  <si>
    <t>Mathematical statistics--Data processing.,Monte Carlo method.</t>
  </si>
  <si>
    <t>Fan, Xitao.-SAS Institute.</t>
  </si>
  <si>
    <t>Longitudinal Data and SAS</t>
  </si>
  <si>
    <t>A Programmer's Guide</t>
  </si>
  <si>
    <t>QA276.4 .C5325 2001eb</t>
  </si>
  <si>
    <t>Longitudinal method.,Statistics.</t>
  </si>
  <si>
    <t>Cody, Ronald P.</t>
  </si>
  <si>
    <t>Population et santeÌ dans les pays en deÌveloppement</t>
  </si>
  <si>
    <t>RA652.2.P82 P6714 2003eb</t>
  </si>
  <si>
    <t>Health status indicators.,Mortality--Africa--Statistics.,Public health surveillance--Africa.,Public health surveillance--Developing countries.,Public health--Africa--Statistics.</t>
  </si>
  <si>
    <t>INDEPTH Network.-International Development Research Centre (Canada)</t>
  </si>
  <si>
    <t>Ceramic Nanomaterials and Nanotechnology II</t>
  </si>
  <si>
    <t>Proceedings of the Nanostructured Materials and Nanotechnology Symposium: Held at the 105th Annual Meeting of The American Ceramic Society, April 27-30, in Nashville, Tennessee</t>
  </si>
  <si>
    <t>American Ceramic Society</t>
  </si>
  <si>
    <t>American Ceramics Society</t>
  </si>
  <si>
    <t>TA455.C43 C4642 2003eb</t>
  </si>
  <si>
    <t>Ceramic materials--Congresses.,Nanostructured materials--Congresses.</t>
  </si>
  <si>
    <t>De Guire, Mark R.</t>
  </si>
  <si>
    <t>Ceramic Transactions</t>
  </si>
  <si>
    <t>Designing and Conducting Health Systems Research Projects</t>
  </si>
  <si>
    <t>RA440.85 .V37 2003eb</t>
  </si>
  <si>
    <t>Health services administration--Study and teaching.,Proposal writing in medicine.,Public health--Research--Study and teaching.</t>
  </si>
  <si>
    <t>Varkevisser, Corlien M.-Pathmanathan, Indra.-Brownlee, Ann Templeton</t>
  </si>
  <si>
    <t>Designing and Conducting Health System Research Projects</t>
  </si>
  <si>
    <t>RA440.85 V37 2004eb</t>
  </si>
  <si>
    <t>Medical care surveys--Study and teaching.,Medical care--Statistical methods.,Report writing--Study and teaching.</t>
  </si>
  <si>
    <t>Varkevisser, Corlien M.-Pathmanathan, Indra.-Brownlee, Ann Templeton-International Development Research Centre (Canada)-World Health Organization.</t>
  </si>
  <si>
    <t>Creating Web-accessible Databases</t>
  </si>
  <si>
    <t>Case Studies for Libraries, Museums, and Other Nonprofits</t>
  </si>
  <si>
    <t>QA76.9.W43 C74 2001eb</t>
  </si>
  <si>
    <t>Database design.,Web databases.</t>
  </si>
  <si>
    <t>Still, Julie.</t>
  </si>
  <si>
    <t>Small Group Teaching</t>
  </si>
  <si>
    <t>Tutorials, Seminars and Beyond</t>
  </si>
  <si>
    <t>LB2331 .E937 2004eb</t>
  </si>
  <si>
    <t>College teaching.,Group work in education.,Small groups.</t>
  </si>
  <si>
    <t>Exley, Kate-Dennick, Reg</t>
  </si>
  <si>
    <t>Key Guides for Effective Teaching in Higher Education Series</t>
  </si>
  <si>
    <t>Progress in Nanotechnology</t>
  </si>
  <si>
    <t>T174.7 P74 2002eb</t>
  </si>
  <si>
    <t>American Ceramic Society.</t>
  </si>
  <si>
    <t>Microwave and Radio Frequency Applications</t>
  </si>
  <si>
    <t>Proceedings of the Third World Congress on Microwave and Radio Frequency Applications: "Bridging Science, Technology, and Applications"</t>
  </si>
  <si>
    <t>QC676 M53 2003eb</t>
  </si>
  <si>
    <t>Microwaves--Congresses.,Microwaves--Industrial applications--Congresses.,Radio frequency--Congresses.,Radio frequency--Industrial applications--Congresses.,Radio waves--Congresses.,Radio waves--Industrial applications--Congresses.</t>
  </si>
  <si>
    <t>Folz, Diane C.</t>
  </si>
  <si>
    <t>Globalization and Belonging</t>
  </si>
  <si>
    <t>The Politics of Identity in a Changing World</t>
  </si>
  <si>
    <t>HM753 .C76 2004eb</t>
  </si>
  <si>
    <t>Citizenship.,Globalization.,Group identity.</t>
  </si>
  <si>
    <t>Croucher, Sheila L.</t>
  </si>
  <si>
    <t>New Millennium Books in International Studies</t>
  </si>
  <si>
    <t>The Unconscious at Work</t>
  </si>
  <si>
    <t>Individual and Organizational Stress in the Human Services</t>
  </si>
  <si>
    <t>HV40.35 .U53 1994eb</t>
  </si>
  <si>
    <t>Group relations training.,Human services personnel--Job stress.,Human services personnel--Psychology.,System theory.</t>
  </si>
  <si>
    <t>Obholzer, Anton-Roberts, Vega Zagier</t>
  </si>
  <si>
    <t>Twentieth-Century China</t>
  </si>
  <si>
    <t>New Approaches</t>
  </si>
  <si>
    <t>DS774 .T84 2003eb</t>
  </si>
  <si>
    <t>Wasserstrom, Jeffrey N.</t>
  </si>
  <si>
    <t>Rewriting Histories</t>
  </si>
  <si>
    <t>Particulate Interactions in Dry Powder Formulation for Inhalation</t>
  </si>
  <si>
    <t>RS201.P8 Z46 2003eb</t>
  </si>
  <si>
    <t>Aerosol therapy.,Powders (Pharmacy)</t>
  </si>
  <si>
    <t>Zeng, Xian Ming-Martin, Gary P.-Marriott, Christopher</t>
  </si>
  <si>
    <t>Oceanography and Marine Biology: An Annual Review: Volume 38</t>
  </si>
  <si>
    <t>An Annual Review: Volume 38</t>
  </si>
  <si>
    <t>SCIENCE / Life Sciences / Marine Biology</t>
  </si>
  <si>
    <t>GC21 .O35 2000eb</t>
  </si>
  <si>
    <t>Marine biology.,Oceanography.</t>
  </si>
  <si>
    <t>Gibson, R. N.-Barnes, Margaret.</t>
  </si>
  <si>
    <t>Oceanography and Marine Biology</t>
  </si>
  <si>
    <t>Occupational Injury</t>
  </si>
  <si>
    <t>Risk, Prevention And Intervention</t>
  </si>
  <si>
    <t>T55 .O26 2003eb</t>
  </si>
  <si>
    <t>Accidents--Australia--Prevention.,Accidents--Prevention.,Industrial safety.,Industrial safety--Australia.</t>
  </si>
  <si>
    <t>Feyer, Anne-Marie.-Williamson, Ann</t>
  </si>
  <si>
    <t>Mechanical Forces and the Endothelium</t>
  </si>
  <si>
    <t>QP88.45 .M43 1999eb</t>
  </si>
  <si>
    <t>Endothelium--Mechanical properties.</t>
  </si>
  <si>
    <t>Lelkes, Peter I.</t>
  </si>
  <si>
    <t>Endothelial Cell Research Series</t>
  </si>
  <si>
    <t>Manual of Ready-Mixed Concrete</t>
  </si>
  <si>
    <t>ARCHITECTURE / Methods &amp; Materials</t>
  </si>
  <si>
    <t>TP881 .D44 2003eb</t>
  </si>
  <si>
    <t>Ready-mixed concrete--Handbooks, manuals, etc.</t>
  </si>
  <si>
    <t>Dewar, J. D.-Anderson, R.</t>
  </si>
  <si>
    <t>Major Impacts and Plate Tectonics</t>
  </si>
  <si>
    <t>A Model for the Phanerzoic Evolution of the Earth's Lithosphere</t>
  </si>
  <si>
    <t>QE511.4 .P74 2001eb</t>
  </si>
  <si>
    <t>Catastrophes (Geology),Impact.,Plate tectonics.</t>
  </si>
  <si>
    <t>Price, Neville J.</t>
  </si>
  <si>
    <t>Healthy and Productive Work</t>
  </si>
  <si>
    <t>An International Perspective</t>
  </si>
  <si>
    <t>HD7261 .H394 2003eb</t>
  </si>
  <si>
    <t>Industrial hygiene.,Job stress.,Quality of work life.,Work design.,Work environment.</t>
  </si>
  <si>
    <t>Murphy, Lawrence R.-Cooper, Cary L.</t>
  </si>
  <si>
    <t>Egypt in the Twenty First Century</t>
  </si>
  <si>
    <t>Challenges for Development</t>
  </si>
  <si>
    <t>Taylor &amp; Francis Routledge</t>
  </si>
  <si>
    <t>HC830 .E3772 2003eb</t>
  </si>
  <si>
    <t>Economic forecasting--Egypt.</t>
  </si>
  <si>
    <t>El Ghonemy, Mohamad Riad</t>
  </si>
  <si>
    <t>Design of Masonry Structures</t>
  </si>
  <si>
    <t>TA679 .H46 2003eb</t>
  </si>
  <si>
    <t>Masonry.,Masonry--Standards--European Union countries.</t>
  </si>
  <si>
    <t>Hendry, A. W.-Sinha, B. P.-Davies, S. R.</t>
  </si>
  <si>
    <t>Contraception Today: Pocketbook</t>
  </si>
  <si>
    <t>RG136 G85 2003eb</t>
  </si>
  <si>
    <t>Contraception--Handbooks, manuals, etc.,Contraceptives--Handbooks, manuals, etc.</t>
  </si>
  <si>
    <t>Guillebaud, John.</t>
  </si>
  <si>
    <t>Conjugation Reactions In Drug Metabolism</t>
  </si>
  <si>
    <t>An Integrated Approach</t>
  </si>
  <si>
    <t>RM301 .C65 1990eb</t>
  </si>
  <si>
    <t>Drugs--Metabolism.,Drugs--Physiological effect.,Metabolic conjugation.</t>
  </si>
  <si>
    <t>Mulder, Gerard J.</t>
  </si>
  <si>
    <t>Cancer Facts</t>
  </si>
  <si>
    <t>RC261 .C2733 1999eb</t>
  </si>
  <si>
    <t>Cancer.,Oncology.</t>
  </si>
  <si>
    <t>Bishop, James F.</t>
  </si>
  <si>
    <t>Basil</t>
  </si>
  <si>
    <t>The Genus Ocimum</t>
  </si>
  <si>
    <t>SCIENCE / Life Sciences / Botany</t>
  </si>
  <si>
    <t>SB317.B25 B37 1999eb</t>
  </si>
  <si>
    <t>Basil.,Basil--Therapeutic use.</t>
  </si>
  <si>
    <t>Hiltunen, Raimo.-Holm, Yvonne.</t>
  </si>
  <si>
    <t>Medicinal and Aromatic Plants--industrial Profiles</t>
  </si>
  <si>
    <t>Advances in Water Treatment and Environmental Management</t>
  </si>
  <si>
    <t>TD365 .A65 1991eb</t>
  </si>
  <si>
    <t>Water quality management--Congresses.,Water quality management--Europe--Congresses.,Water--Purification--Congresses.</t>
  </si>
  <si>
    <t>Thomas, George.-King, R.-BHR Group Limited.-Commission of the European Communities.</t>
  </si>
  <si>
    <t>Biochemical Protozoology As A Basis For Drug Design</t>
  </si>
  <si>
    <t>RC119 .B48 2003eb</t>
  </si>
  <si>
    <t>Parasitic diseases--Molecular aspects.,Parasitic diseases--Pathophysiology.</t>
  </si>
  <si>
    <t>Coombs, Graham H.-North, Michael J.</t>
  </si>
  <si>
    <t>Garden Spot</t>
  </si>
  <si>
    <t>Lancaster County, the Old Order Amish, and the Selling of Rural America</t>
  </si>
  <si>
    <t>HN79.P42 L368 2002eb</t>
  </si>
  <si>
    <t>Rural development--Pennsylvania--Lancaster County.</t>
  </si>
  <si>
    <t>Walbert, David J.</t>
  </si>
  <si>
    <t>Generalist Practice</t>
  </si>
  <si>
    <t>A Task-Centered Approach</t>
  </si>
  <si>
    <t>HV43 .T6 2003eb</t>
  </si>
  <si>
    <t>Family social work.,Social case work.,Social group work.,Task-centered social work.</t>
  </si>
  <si>
    <t>Tolson, Eleanor Reardon-Reid, William James-Garvin, Charles D.</t>
  </si>
  <si>
    <t>Early Modern Japanese Literature</t>
  </si>
  <si>
    <t>An Anthology, 1600-1900</t>
  </si>
  <si>
    <t>LITERARY CRITICISM / Asian / General</t>
  </si>
  <si>
    <t>PL782.E1 E23 2002eb</t>
  </si>
  <si>
    <t>Japanese literature--Translations into English.</t>
  </si>
  <si>
    <t>Shirane, Haruo</t>
  </si>
  <si>
    <t>Translations From the Asian Classics</t>
  </si>
  <si>
    <t>The Future of Academic Medical Centers</t>
  </si>
  <si>
    <t>RA975.T43 F88 2001eb</t>
  </si>
  <si>
    <t>Teaching hospitals--United States--Finance.</t>
  </si>
  <si>
    <t>Aaron, Henry J.</t>
  </si>
  <si>
    <t>Thirsty Cities</t>
  </si>
  <si>
    <t>Urban Environments and Water Supply in Latin America</t>
  </si>
  <si>
    <t>TD227.5 .A54 1993eb</t>
  </si>
  <si>
    <t>Municipal water supply--Latin America.,Water quality--Latin America.,Water-supply--Latin America--Management.</t>
  </si>
  <si>
    <t>Anton, Danilo J.</t>
  </si>
  <si>
    <t>Managing the Monster</t>
  </si>
  <si>
    <t>Urban Waste and Governance in Africa</t>
  </si>
  <si>
    <t>TD789.A35 M36 1999eb</t>
  </si>
  <si>
    <t>Metropolitan government--Africa.,Refuse and refuse disposal--Africa.,Urbanization--Environmental aspects--Africa.</t>
  </si>
  <si>
    <t>Taking Care of What We Have</t>
  </si>
  <si>
    <t>Participatory Natural Resource Management on the Caribbean Coast of Nicaragua</t>
  </si>
  <si>
    <t>QH541.5.C65 T34 2000eb</t>
  </si>
  <si>
    <t>Coastal ecology--Nicaragua--Atlantic Coast.,Conservation of natural resources--Nicaragua--Atlantic Coast.</t>
  </si>
  <si>
    <t>Christie, Patrick.-International Development Research Centre (Canada)-Centro de Investigaciones y DocumentacioÌn de la Costa AtlaÌntica (Nicaragua)</t>
  </si>
  <si>
    <t>Ability Profiling and School Failure</t>
  </si>
  <si>
    <t>One Child's Struggle to Be Seen As Competent</t>
  </si>
  <si>
    <t>LB3061 .C615 2003eb</t>
  </si>
  <si>
    <t>Ability grouping in education--United States--Case studies.,Discrimination in education--United States--Case studies.</t>
  </si>
  <si>
    <t>Collins, Kathleen M.</t>
  </si>
  <si>
    <t>Everybody Belongs</t>
  </si>
  <si>
    <t>Changing Negative Attitudes Toward Classmates with Disabilities</t>
  </si>
  <si>
    <t>EDUCATION / Inclusive Education</t>
  </si>
  <si>
    <t>LC1201 .S53 2000eb</t>
  </si>
  <si>
    <t>Discrimination against people with disabilities--United States.,Inclusive education--United States.,Students with disabilities--United States--Social conditions.,Students--United States--Attitudes.,Teachers--United States--Attitudes.,Toleration--Study and teaching (Elementary)--United States.</t>
  </si>
  <si>
    <t>Shapiro, Arthur H.</t>
  </si>
  <si>
    <t>Critical Education Practice</t>
  </si>
  <si>
    <t>Fenimore Cooper</t>
  </si>
  <si>
    <t>PS1438 .J36 1997eb</t>
  </si>
  <si>
    <t>Dekker, George.-Williams, John P.</t>
  </si>
  <si>
    <t>Critical Heritage Series</t>
  </si>
  <si>
    <t>Where There Is No Psychiatrist</t>
  </si>
  <si>
    <t>A Mental Health Care Manual</t>
  </si>
  <si>
    <t>RC456 .P38 2003eb</t>
  </si>
  <si>
    <t>Mental illness.,Mental illness--Developing countries.,Psychiatry.,Psychiatry--Developing countries.</t>
  </si>
  <si>
    <t>Patel, Vikram.</t>
  </si>
  <si>
    <t>Family Work for Schizophrenia</t>
  </si>
  <si>
    <t>RC514 .K85 2002eb</t>
  </si>
  <si>
    <t>Schizophrenia.,Schizophrenics--Family relationships.</t>
  </si>
  <si>
    <t>Kuipers, Liz.-Leff, Julian P.-Lam, Dominic.</t>
  </si>
  <si>
    <t>The Infinite</t>
  </si>
  <si>
    <t>BD411 .M59 2001eb</t>
  </si>
  <si>
    <t>Infinite.</t>
  </si>
  <si>
    <t>Moore, A. W.</t>
  </si>
  <si>
    <t>Problems of Philosophy</t>
  </si>
  <si>
    <t>High Performance Concrete</t>
  </si>
  <si>
    <t>TA439 .A47 1998eb</t>
  </si>
  <si>
    <t>Concrete construction.,High strength concrete.</t>
  </si>
  <si>
    <t>Ã„itcin, Pierre-Claude</t>
  </si>
  <si>
    <t>Modern Concrete Technology</t>
  </si>
  <si>
    <t>The German Historical School</t>
  </si>
  <si>
    <t>The Historical and Ethical Approach to Economics</t>
  </si>
  <si>
    <t>HB97 .G47 2001eb</t>
  </si>
  <si>
    <t>Economics--Germany--History--19th century.,Historical school of economics.</t>
  </si>
  <si>
    <t>å¡©é‡Žè°·ç¥ä¸€</t>
  </si>
  <si>
    <t>Routledge Studies in the History of Economics</t>
  </si>
  <si>
    <t>Concrete Materials</t>
  </si>
  <si>
    <t>Problems and Solutions</t>
  </si>
  <si>
    <t>TA439 .L442 1997eb</t>
  </si>
  <si>
    <t>Concrete construction.,Concrete.</t>
  </si>
  <si>
    <t>Levitt, M.</t>
  </si>
  <si>
    <t>Treatment Without Consent</t>
  </si>
  <si>
    <t>Law, Psychiatry and the Treatment of Mentally Disordered People Since 1845</t>
  </si>
  <si>
    <t>KD3412 .F46 1996eb</t>
  </si>
  <si>
    <t>Informed consent (Medical law)--Great Britain--History.,Mental health laws--Great Britain--History.</t>
  </si>
  <si>
    <t>Fennell, Phil.</t>
  </si>
  <si>
    <t>Social Ethics and Policy Series</t>
  </si>
  <si>
    <t>Going to the Wars</t>
  </si>
  <si>
    <t>The Experience of the British Civil Wars, 1638-1651</t>
  </si>
  <si>
    <t>DA415 .C3 1992eb</t>
  </si>
  <si>
    <t>Carlton, Charles</t>
  </si>
  <si>
    <t>Captain Cook in the Underworld</t>
  </si>
  <si>
    <t>PR9639.3.S88 C37 2002eb</t>
  </si>
  <si>
    <t>Mythology--Poetry.,Songs, English--Texts.</t>
  </si>
  <si>
    <t>Swimming Pools</t>
  </si>
  <si>
    <t>Design and Construction, Fourth Edition</t>
  </si>
  <si>
    <t>TH4763 .P47 2000eb</t>
  </si>
  <si>
    <t>Swimming pools--Design and construction.</t>
  </si>
  <si>
    <t>Perkins, Philip Harold.</t>
  </si>
  <si>
    <t>Repair, Protection and Waterproofing of Concrete Structures</t>
  </si>
  <si>
    <t>TA681 .P47 1997eb</t>
  </si>
  <si>
    <t>Concrete coatings.,Concrete construction--Maintenance and repair.,Waterproofing.</t>
  </si>
  <si>
    <t>Acquired Neurological Speech/Language Disorders In Childhood</t>
  </si>
  <si>
    <t>RJ496.S7 A27 1990eb</t>
  </si>
  <si>
    <t>Speech disorders in children.</t>
  </si>
  <si>
    <t>Murdoch, B. E.</t>
  </si>
  <si>
    <t>Brain Damage, Behaviour, and Cognition</t>
  </si>
  <si>
    <t>The Columbia Guide to American Indians of the Southeast</t>
  </si>
  <si>
    <t>HISTORY / United States / General</t>
  </si>
  <si>
    <t>E78.S65 P45 2001eb</t>
  </si>
  <si>
    <t>Indians of North America--Southern States--History.,Indians of North America--Southern States--Social life and customs.</t>
  </si>
  <si>
    <t>Perdue, Theda-Green, Michael D.</t>
  </si>
  <si>
    <t>Columbia Guides to American Indian History and Culture</t>
  </si>
  <si>
    <t>L'autre dÃ©veloppement</t>
  </si>
  <si>
    <t>L'Ã©galitÃ© des sexes dans la science et la technologie</t>
  </si>
  <si>
    <t>Q130 .U55 1996eb</t>
  </si>
  <si>
    <t>Science--Developing countries.,Technology--Developing countries.,Women in science--Developing countries.,Women in technology--Developing countries.</t>
  </si>
  <si>
    <t>International Development Research Centre (Canada)</t>
  </si>
  <si>
    <t>Adaptation and Natural Selection</t>
  </si>
  <si>
    <t>A Critique of Some Current Evolutionary Thought</t>
  </si>
  <si>
    <t>SCIENCE / Life Sciences / Evolution</t>
  </si>
  <si>
    <t>QH546 .W55 1996eb</t>
  </si>
  <si>
    <t>Adaptation (Biology),Natural selection.</t>
  </si>
  <si>
    <t>Williams, George C.</t>
  </si>
  <si>
    <t>Princeton Science Library</t>
  </si>
  <si>
    <t>Population and Health in Developing Countries</t>
  </si>
  <si>
    <t>RA652.2.P82 P66 2002eb</t>
  </si>
  <si>
    <t>Public health surveillance--Africa.</t>
  </si>
  <si>
    <t>Fundamentals of Manufacturing For Engineers</t>
  </si>
  <si>
    <t>TECHNOLOGY &amp; ENGINEERING / Manufacturing</t>
  </si>
  <si>
    <t>TS183 .W38 1996eb</t>
  </si>
  <si>
    <t>Manufacturing processes.,Production engineering.</t>
  </si>
  <si>
    <t>Waters, T. Frederick.</t>
  </si>
  <si>
    <t>Comparative European Party Systems</t>
  </si>
  <si>
    <t>An Analysis of Parliamentary Elections Since 1945</t>
  </si>
  <si>
    <t>JN50 .S57 2000eb</t>
  </si>
  <si>
    <t>Political parties--Europe.</t>
  </si>
  <si>
    <t>Siaroff, Alan.</t>
  </si>
  <si>
    <t>Contemporary Issues in European Politics</t>
  </si>
  <si>
    <t>Apoptosis in Toxicology</t>
  </si>
  <si>
    <t>QH671 .A658 2000eb</t>
  </si>
  <si>
    <t>Apoptosis.,Genetic toxicology.,Molecular toxicology.</t>
  </si>
  <si>
    <t>Roberts, Ruth</t>
  </si>
  <si>
    <t>Flow Injection Analysis of Pharmaceuticals</t>
  </si>
  <si>
    <t>Automation in the Laboratory</t>
  </si>
  <si>
    <t>RS189.5.F56 C35 1996eb</t>
  </si>
  <si>
    <t>Drugs--Analysis.,Flow injection analysis.</t>
  </si>
  <si>
    <t>Calatayud, JosÃ¢e MartÃ¢inez.</t>
  </si>
  <si>
    <t>Microbiology and Chemistry for Environmental Scientists and Engineers</t>
  </si>
  <si>
    <t>QR48 .L47 1999eb</t>
  </si>
  <si>
    <t>Chemistry.,Drinking water--Microbiology.,Environmental chemistry.,Microbiology.,Sanitary microbiology.,Water chemistry.</t>
  </si>
  <si>
    <t>Lester, J. N.-Birkett, J. W.</t>
  </si>
  <si>
    <t>Physiological Pharmaceutics</t>
  </si>
  <si>
    <t>Barriers to Drug Absorption</t>
  </si>
  <si>
    <t>RM301.6 .W54 2001eb</t>
  </si>
  <si>
    <t>Absorption (Physiology),Drugs--Bioavailability.,Drugs--Dosage forms.,Drugs--Physiological transport.</t>
  </si>
  <si>
    <t>Washington, Neena-Washington, Clive-Wilson, Clive George.</t>
  </si>
  <si>
    <t>Design of Offshore Concrete Structures</t>
  </si>
  <si>
    <t>TC1665 .D48 2000eb</t>
  </si>
  <si>
    <t>Concrete construction.,Offshore structures--Design and construction.</t>
  </si>
  <si>
    <t>Holand, Ivar.-Gudmestad, O. T.-Jersin, Erik.</t>
  </si>
  <si>
    <t>Explosive Loading of Engineering Structures</t>
  </si>
  <si>
    <t>TA654.7 .B85 1997eb</t>
  </si>
  <si>
    <t>Blast effect.,Penetration mechanics.,Structural dynamics.</t>
  </si>
  <si>
    <t>Bulson, P. S.</t>
  </si>
  <si>
    <t>Antigone's Claim</t>
  </si>
  <si>
    <t>Kinship Between Life and Death</t>
  </si>
  <si>
    <t>B2948 .B855 2000eb</t>
  </si>
  <si>
    <t>Antigone (Greek mythology),Feminist theory.,Kinship--Philosophy.</t>
  </si>
  <si>
    <t>Butler, Judith.</t>
  </si>
  <si>
    <t>The Wellek Library Lectures</t>
  </si>
  <si>
    <t>Tunnelling</t>
  </si>
  <si>
    <t>Management by Design</t>
  </si>
  <si>
    <t>TA805 .M85 2000eb</t>
  </si>
  <si>
    <t>Tunneling.,Tunnels--Design.</t>
  </si>
  <si>
    <t>Muir Wood, A. M.</t>
  </si>
  <si>
    <t>Dangerous Sexualities</t>
  </si>
  <si>
    <t>Medico-Moral Politics in England Since 1830</t>
  </si>
  <si>
    <t>HQ32 .M67 2000eb</t>
  </si>
  <si>
    <t>Hygiene, Sexual--England--History.,Public health--England--History.,Sexual ethics--England--History.</t>
  </si>
  <si>
    <t>Mort, Frank.</t>
  </si>
  <si>
    <t>A History of the Spanish Language Through Texts</t>
  </si>
  <si>
    <t>PC4075 .P69 2001eb</t>
  </si>
  <si>
    <t>Spanish language--History.,Spanish language--History--Sources.</t>
  </si>
  <si>
    <t>Pountain, Christopher J.</t>
  </si>
  <si>
    <t>Circuitous Journeys</t>
  </si>
  <si>
    <t>Modern Spiritual Autobiography</t>
  </si>
  <si>
    <t>BL71.5 .L45 2000eb</t>
  </si>
  <si>
    <t>Autobiography--Religious aspects.,Spiritual biography--History and criticism.</t>
  </si>
  <si>
    <t>Leigh, David J.</t>
  </si>
  <si>
    <t>Studies in Religion and Literature</t>
  </si>
  <si>
    <t>Rethinking God As Gift</t>
  </si>
  <si>
    <t>Marion, Derrida, and the Limits of Phenomenology</t>
  </si>
  <si>
    <t>BT55 .H67 2001eb</t>
  </si>
  <si>
    <t>Gifts--Religious aspects--Christianity.,God.,Phenomenological theology.</t>
  </si>
  <si>
    <t>Horner, Robyn.</t>
  </si>
  <si>
    <t>A Reformation Debate</t>
  </si>
  <si>
    <t>John Calvin &amp; Jacopo Sadoleto</t>
  </si>
  <si>
    <t>BR301 .C3 2000eb</t>
  </si>
  <si>
    <t>Church--Authority.,Justification.,Reformation.</t>
  </si>
  <si>
    <t>Calvin, Jean-Sadoleto, Jacopo-Olin, John C.</t>
  </si>
  <si>
    <t>Overcoming Onto-Theology</t>
  </si>
  <si>
    <t>Toward a Postmodern Christian Faith</t>
  </si>
  <si>
    <t>BR100 .W47 2001eb</t>
  </si>
  <si>
    <t>Christianity--Philosophy.,Postmodernism--Religious aspects--Christianity.</t>
  </si>
  <si>
    <t>Westphal, Merold.</t>
  </si>
  <si>
    <t>The Question of German Guilt</t>
  </si>
  <si>
    <t>DD256.48 .J3713 2000eb</t>
  </si>
  <si>
    <t>Antisemitism--Germany--History--20th century.,National socialism.,World War, 1939-1945--Atrocities.,World War, 1939-1945--Germany.</t>
  </si>
  <si>
    <t>Jaspers, Karl</t>
  </si>
  <si>
    <t>Ireland in Proximity</t>
  </si>
  <si>
    <t>History, Gender and Space</t>
  </si>
  <si>
    <t>DA925 .I744 1999eb</t>
  </si>
  <si>
    <t>Brewster, Scott.</t>
  </si>
  <si>
    <t>Manhood and Morality</t>
  </si>
  <si>
    <t>Sex, Violence and Ritual in Gisu Society</t>
  </si>
  <si>
    <t>DT433.245.G57 H45 1999eb</t>
  </si>
  <si>
    <t>Gisu (African people)--Psychology.,Gisu (African people)--Rites and ceremonies.,Gisu (African people)--Sexual behavior.,Men--Uganda--Identity.,Sex role--Moral and ethical aspects--Uganda.,Violence--Uganda.</t>
  </si>
  <si>
    <t>Heald, Suzette.</t>
  </si>
  <si>
    <t>Bridge Loads</t>
  </si>
  <si>
    <t>TECHNOLOGY &amp; ENGINEERING / Construction / General</t>
  </si>
  <si>
    <t>TG300 .O28 2000eb</t>
  </si>
  <si>
    <t>Bridges--Design and construction.,Bridges--Live loads.,Load factor design.</t>
  </si>
  <si>
    <t>O'Connor, Colin.-Shaw, Peter A.</t>
  </si>
  <si>
    <t>Understanding the Neolithic</t>
  </si>
  <si>
    <t>GN776.22.G7 T48 2002eb</t>
  </si>
  <si>
    <t>Archaeology--Philosophy.,Neolithic period--England.,Neolithic period--Great Britain.</t>
  </si>
  <si>
    <t>Thomas, Julian.</t>
  </si>
  <si>
    <t>Early Modern Spain</t>
  </si>
  <si>
    <t>A Social History</t>
  </si>
  <si>
    <t>HN583 .C37 2002eb</t>
  </si>
  <si>
    <t>Casey, James</t>
  </si>
  <si>
    <t>A Social History of Europe</t>
  </si>
  <si>
    <t>Earth First! and the Anti-Roads Movement</t>
  </si>
  <si>
    <t>GE195 .W34 2002eb</t>
  </si>
  <si>
    <t>Environmentalism.,Green movement--Citizen participation.</t>
  </si>
  <si>
    <t>Wall, Derek.</t>
  </si>
  <si>
    <t>Archaeology Under Fire</t>
  </si>
  <si>
    <t>Nationalism, Politics and Heritage in the Eastern Mediterranean and Middle East</t>
  </si>
  <si>
    <t>DS56 .A78 1998eb</t>
  </si>
  <si>
    <t>Archaeology--Political aspects--Mediterranean Region.,Archaeology--Political aspects--Middle East.,Nationalism--Mediterranean Region.,Nationalism--Middle East.</t>
  </si>
  <si>
    <t>Meskell, Lynn.</t>
  </si>
  <si>
    <t>The Convergence of Distance and Conventional Education</t>
  </si>
  <si>
    <t>Patterns of Flexibility for the Individual Learner</t>
  </si>
  <si>
    <t>LC5800 .C67 2002eb</t>
  </si>
  <si>
    <t>Continuing education.,Distance education.,Educational technology.,Open learning.</t>
  </si>
  <si>
    <t>Tait, Alan.-Mills, Roger</t>
  </si>
  <si>
    <t>Routledge Studies in Distance Education</t>
  </si>
  <si>
    <t>The Roman Historians</t>
  </si>
  <si>
    <t>DG205 .M45 2002eb</t>
  </si>
  <si>
    <t>Historians--Rome--Biography.</t>
  </si>
  <si>
    <t>Mellor, Ronald.</t>
  </si>
  <si>
    <t>Akehurst's Modern Introduction to International Law</t>
  </si>
  <si>
    <t>KZ1242 .M35 2002eb</t>
  </si>
  <si>
    <t>International law.</t>
  </si>
  <si>
    <t>Malanczuk, Peter.-Akehurst, Michael Barton.</t>
  </si>
  <si>
    <t>Fifty Eastern Thinkers</t>
  </si>
  <si>
    <t>PHILOSOPHY / Eastern</t>
  </si>
  <si>
    <t>B5005 .C645 2000eb</t>
  </si>
  <si>
    <t>Philosophers--Asia--Biography.,Philosophy, Asian.</t>
  </si>
  <si>
    <t>Collinson, DianÃ¢e-Plant, Kathryn.-Wilkinson, Robert</t>
  </si>
  <si>
    <t>Assessing Reading 1: Theory and Practice</t>
  </si>
  <si>
    <t>LB1050.46 .A847 2002eb</t>
  </si>
  <si>
    <t>Educational tests and measurements.,Reading--Ability testing.</t>
  </si>
  <si>
    <t>Harrison, Colin-Salinger, Terry S.</t>
  </si>
  <si>
    <t>Archaeology, Economy and Society</t>
  </si>
  <si>
    <t>England From the Fifth to the Fifteenth Century</t>
  </si>
  <si>
    <t>DA130 .H56 2002eb</t>
  </si>
  <si>
    <t>Archaeology, Medieval.,Excavations (Archaeology)--England.</t>
  </si>
  <si>
    <t>Hinton, David Alban.</t>
  </si>
  <si>
    <t>Giants Among Us</t>
  </si>
  <si>
    <t>First-generation College Graduates Who Lead Activist Lives</t>
  </si>
  <si>
    <t>LC4069.6 .R63 2002eb</t>
  </si>
  <si>
    <t>Academic achievement--Social aspects--United States--Case studies.,College graduates--United States--Interviews.,People with social disabilities--Education (Higher)--United States--Case studies.</t>
  </si>
  <si>
    <t>Rodriguez, Sandria</t>
  </si>
  <si>
    <t>Vanderbilt Issues in Higher Education</t>
  </si>
  <si>
    <t>Peirce's Scientific Metaphysics</t>
  </si>
  <si>
    <t>The Philosophy of Chance, Law, and Evolution</t>
  </si>
  <si>
    <t>B945.P44 R49 2002eb</t>
  </si>
  <si>
    <t>Metaphysics.</t>
  </si>
  <si>
    <t>Reynolds, Andrew</t>
  </si>
  <si>
    <t>Vanderbilt Library of American Philosophy</t>
  </si>
  <si>
    <t>Smoke in Their Eyes</t>
  </si>
  <si>
    <t>Lessons in Movement Leadership From the Tobacco Wars</t>
  </si>
  <si>
    <t>HV5763 .P47 2001eb</t>
  </si>
  <si>
    <t>Antismoking movement--United States.,Tobacco industry--Government policy--United States.</t>
  </si>
  <si>
    <t>William James's "Springs of Delight"</t>
  </si>
  <si>
    <t>The Return to Life</t>
  </si>
  <si>
    <t>B945.J24 O55 2001eb</t>
  </si>
  <si>
    <t>Perception (Philosophy)</t>
  </si>
  <si>
    <t>Oliver, Phil</t>
  </si>
  <si>
    <t>Creating Interdisciplinarity</t>
  </si>
  <si>
    <t>Interdisciplinary Research and Teaching Among College and University Faculty</t>
  </si>
  <si>
    <t>LB2361 .L33 2001eb</t>
  </si>
  <si>
    <t>Interdisciplinary approach in education.,Universities and colleges--Curricula.</t>
  </si>
  <si>
    <t>Lattuca, Lisa R.</t>
  </si>
  <si>
    <t>Rebecca Harding Davis</t>
  </si>
  <si>
    <t>Writing Cultural Autobiography</t>
  </si>
  <si>
    <t>PS1517 .B5 2001eb</t>
  </si>
  <si>
    <t>Authors, American--19th century--Biography.,Authors, American--19th century--Family relationships.</t>
  </si>
  <si>
    <t>Davis, Rebecca Harding-Lasseter, Janice Milner-Harris, Sharon M.</t>
  </si>
  <si>
    <t>Invisible Work</t>
  </si>
  <si>
    <t>Borges and Translation</t>
  </si>
  <si>
    <t>PQ7797.B635 Z77155 2002eb</t>
  </si>
  <si>
    <t>Translating and interpreting.</t>
  </si>
  <si>
    <t>Kristal, EfraiÌn</t>
  </si>
  <si>
    <t>Families at Work</t>
  </si>
  <si>
    <t>Expanding the Boundaries</t>
  </si>
  <si>
    <t>HD4904.25 .F359 2002eb</t>
  </si>
  <si>
    <t>Fathers--Attitudes.,Fathers--Employment.,Husbands--Attitudes.,Husbands--Employment.,Work and family.</t>
  </si>
  <si>
    <t>Gerstel, Naomi.-Clawson, Dan.-Zussman, Robert.</t>
  </si>
  <si>
    <t>The Unity of William James's Thought</t>
  </si>
  <si>
    <t>B945.J24 C635 2002eb</t>
  </si>
  <si>
    <t>Cooper, Wesley</t>
  </si>
  <si>
    <t>Dewey's Logical Theory</t>
  </si>
  <si>
    <t>New Studies and Interpretations</t>
  </si>
  <si>
    <t>B945.D44 D496 2002eb</t>
  </si>
  <si>
    <t>Burke, F. Thomas-Hester, D. Micah.-Talisse, Robert B.</t>
  </si>
  <si>
    <t>A Troubled Dream</t>
  </si>
  <si>
    <t>The Promise and Failure of School Desegregation in Louisiana</t>
  </si>
  <si>
    <t>EDUCATION / Administration / General</t>
  </si>
  <si>
    <t>LC214.22.L8 B35 2002eb</t>
  </si>
  <si>
    <t>School integration--Louisiana--History.,Segregation--Louisiana--History.</t>
  </si>
  <si>
    <t>Bankston, Carl L.-Caldas, Stephen J.</t>
  </si>
  <si>
    <t>Speculations After Freud</t>
  </si>
  <si>
    <t>Psychoanalysis, Philosophy and Culture</t>
  </si>
  <si>
    <t>BF175 .S615 2002eb</t>
  </si>
  <si>
    <t>Psychoanalysis and culture--Congresses.,Psychoanalysis and philosophy--Congresses.,Psychoanalysis--Philosophy--Congresses.</t>
  </si>
  <si>
    <t>Shamdasani, Sonu-MÃ¨unchow, Michael-Freud Museum (London, England)</t>
  </si>
  <si>
    <t>Architecture and Authority in Japan</t>
  </si>
  <si>
    <t>NA9050.5 .C63 2002eb</t>
  </si>
  <si>
    <t>Architecture and state--Japan.,Public architecture--Japan.,Symbolism in architecture--Japan.</t>
  </si>
  <si>
    <t>Coaldrake, William Howard.</t>
  </si>
  <si>
    <t>The Nissan Institute/Routledge Japanese Studies Series</t>
  </si>
  <si>
    <t>Stuart England</t>
  </si>
  <si>
    <t>DA375 .S82 2002eb</t>
  </si>
  <si>
    <t>Stroud, Angus</t>
  </si>
  <si>
    <t>Asia-Pacific Financial Deregulation</t>
  </si>
  <si>
    <t>HG187.A2 A85 2002eb</t>
  </si>
  <si>
    <t>Financial services industry--Government policy--East Asia--Congresses.,Financial services industry--Government policy--Pacific Area--Congresses.</t>
  </si>
  <si>
    <t>De Brouwer, Gordon.-Wisarn Pupphavesa.</t>
  </si>
  <si>
    <t>Pacific Trade and Development Conference Series</t>
  </si>
  <si>
    <t>Organizations in Action</t>
  </si>
  <si>
    <t>Competition Between Contexts</t>
  </si>
  <si>
    <t>HD2326 .C498 2002eb</t>
  </si>
  <si>
    <t>Competition.,Corporations.,Industrial organization (Economic theory),International business enterprises.,Knowledge management.,Organizational behavior.,Strategic planning.</t>
  </si>
  <si>
    <t>Clark, Peter A.</t>
  </si>
  <si>
    <t>Clubbing</t>
  </si>
  <si>
    <t>Dancing, Ecstasy, Vitality</t>
  </si>
  <si>
    <t>HQ799.8.G7 M35 2002eb</t>
  </si>
  <si>
    <t>Discotheques--Social aspects--Great Britain.,Young adults--Great Britain--Social life and customs.</t>
  </si>
  <si>
    <t>Malbon, Ben</t>
  </si>
  <si>
    <t>Critical Geographies</t>
  </si>
  <si>
    <t>Valuing Technology</t>
  </si>
  <si>
    <t>Organisations, Culture and Change</t>
  </si>
  <si>
    <t>HM221 .V32 2002eb</t>
  </si>
  <si>
    <t>Employees--Effect of technological innovations on.,Information technology--Social aspects.,Technological innovations--Social aspects.</t>
  </si>
  <si>
    <t>McLaughlin, Janice</t>
  </si>
  <si>
    <t>The Management of Technology and Innovation</t>
  </si>
  <si>
    <t>The Material Life of Human Beings</t>
  </si>
  <si>
    <t>Artifacts, Behavior and Communication</t>
  </si>
  <si>
    <t>GN406 .S34 2002eb</t>
  </si>
  <si>
    <t>Communication and culture.,Human behavior.,Material culture.</t>
  </si>
  <si>
    <t>Schiffer, Michael B.-Miller, Andrea R.</t>
  </si>
  <si>
    <t>Presidential Debates</t>
  </si>
  <si>
    <t>Fifty Years of High-Risk TV</t>
  </si>
  <si>
    <t>JF2112.D43 S37 2000eb</t>
  </si>
  <si>
    <t>Campaign debates--United States.,Presidents--United States--Election.,Television in politics--United States.</t>
  </si>
  <si>
    <t>Schroeder, Alan</t>
  </si>
  <si>
    <t>World Peace and the Human Family</t>
  </si>
  <si>
    <t>JX1953 .W39 2002eb</t>
  </si>
  <si>
    <t>International organization.,Peace.,Social ethics.,Social sciences--Philosophy.</t>
  </si>
  <si>
    <t>Weatherford, Roy</t>
  </si>
  <si>
    <t>Points of Conflict</t>
  </si>
  <si>
    <t>Virtual Working</t>
  </si>
  <si>
    <t>Social and Organisational Dynamics</t>
  </si>
  <si>
    <t>HD30.2 .J325 2002eb</t>
  </si>
  <si>
    <t>Jackson, Paul J.</t>
  </si>
  <si>
    <t>The Labour Party Since 1979</t>
  </si>
  <si>
    <t>Crisis and Transformation</t>
  </si>
  <si>
    <t>JN1129.L32 S457 2002eb</t>
  </si>
  <si>
    <t>Shaw, Eric</t>
  </si>
  <si>
    <t>Nordic Social Policy</t>
  </si>
  <si>
    <t>HV318 .N57 2002eb</t>
  </si>
  <si>
    <t>Social service--Scandinavia.,Welfare state.</t>
  </si>
  <si>
    <t>Kautto, Mikko</t>
  </si>
  <si>
    <t>Leisure, Lifestyle and the New Middle Class</t>
  </si>
  <si>
    <t>A Case Study</t>
  </si>
  <si>
    <t>GV14.45 .W95 2002eb</t>
  </si>
  <si>
    <t>Leisure--England--Sociological aspects--Case studies.,Middle class--England--Social life and customs--Case studies.,Middle class--Recreation--England--Sociological aspects--Case studies.</t>
  </si>
  <si>
    <t>Wynne, Derek.</t>
  </si>
  <si>
    <t>International Library of Sociology</t>
  </si>
  <si>
    <t>The Ethical Primate</t>
  </si>
  <si>
    <t>Humans, Freedom and Morality</t>
  </si>
  <si>
    <t>BJ1468.5 .M53 1996eb</t>
  </si>
  <si>
    <t>Ethics.,Free will and determinism.,Human beings.,Human evolution--Moral and ethical aspects.</t>
  </si>
  <si>
    <t>Creating the Productive Workplace</t>
  </si>
  <si>
    <t>HC79.I52 C73 2000eb</t>
  </si>
  <si>
    <t>Environmental policy--Congresses.,Environmental protection--Congresses.,Industrial productivity--Congresses.,Work environment--Congresses.</t>
  </si>
  <si>
    <t>Croome, Derek J.</t>
  </si>
  <si>
    <t>Modern Political Thought</t>
  </si>
  <si>
    <t>JA83 .M636 2000eb</t>
  </si>
  <si>
    <t>Political science--History.</t>
  </si>
  <si>
    <t>Gingell, John.-Little, Adrian-Winch, Christopher.</t>
  </si>
  <si>
    <t>New Sites For Shakespeare</t>
  </si>
  <si>
    <t>Theatre, the Audience, and Asia</t>
  </si>
  <si>
    <t>PR3091 .B72 1999eb</t>
  </si>
  <si>
    <t>Theater audiences.,Theater--Asia.</t>
  </si>
  <si>
    <t>Brown, John Russell.</t>
  </si>
  <si>
    <t>Endings In Psychotherapy and Counselling</t>
  </si>
  <si>
    <t>RC489.T45 M87 2000eb</t>
  </si>
  <si>
    <t>Psychotherapy--Termination.</t>
  </si>
  <si>
    <t>Murdin, Lesley.</t>
  </si>
  <si>
    <t>Determination of Organic Compounds in Natural and Treated Waters</t>
  </si>
  <si>
    <t>QD142 .C76 2000eb</t>
  </si>
  <si>
    <t>Organic compounds.,Water--Analysis.</t>
  </si>
  <si>
    <t>Crompton, T. R.</t>
  </si>
  <si>
    <t>Chemical Admixtures for Concrete</t>
  </si>
  <si>
    <t>TP884.A3 R59 1999eb</t>
  </si>
  <si>
    <t>Concrete--Additives.</t>
  </si>
  <si>
    <t>Rixom, M. R.-Mailvaganam, N.P.</t>
  </si>
  <si>
    <t>Sport Matters</t>
  </si>
  <si>
    <t>Sociological Studies of Sport, Violence and Civilisation</t>
  </si>
  <si>
    <t>GV706.5 .D85 1999eb</t>
  </si>
  <si>
    <t>Sports--Cross-cultural studies.,Sports--Sociological aspects.,Violence in sports.</t>
  </si>
  <si>
    <t>Dunning, Eric.</t>
  </si>
  <si>
    <t>God's Rascal</t>
  </si>
  <si>
    <t>J. Frank Norris and the Beginnings of Southern Fundamentalism</t>
  </si>
  <si>
    <t>University Press of Kentucky</t>
  </si>
  <si>
    <t>The University Press of Kentucky</t>
  </si>
  <si>
    <t>BX6495.N59 H36 1996eb</t>
  </si>
  <si>
    <t>Baptists--United States--Clergy--Biography.,Fundamentalism--Biography.</t>
  </si>
  <si>
    <t>Hankins, Barry</t>
  </si>
  <si>
    <t>Religion and the South</t>
  </si>
  <si>
    <t>Compressed Air Systems</t>
  </si>
  <si>
    <t>A Guidebook on Energy and Cost Savings</t>
  </si>
  <si>
    <t>Fairmont Press</t>
  </si>
  <si>
    <t>TJ985 .T35 1993eb</t>
  </si>
  <si>
    <t>Compressed air--Energy conservation.</t>
  </si>
  <si>
    <t>Talbott, E. M.</t>
  </si>
  <si>
    <t>The Genesis and Evolution of Time</t>
  </si>
  <si>
    <t>A Critique of Interpretation in Physics</t>
  </si>
  <si>
    <t>University of Massachusetts Press</t>
  </si>
  <si>
    <t>SCIENCE / Time</t>
  </si>
  <si>
    <t>QB209 .F7 1982eb</t>
  </si>
  <si>
    <t>Life--Origin.,Relativity (Physics),Thermodynamics.,Time.</t>
  </si>
  <si>
    <t>Fraser, J. T.</t>
  </si>
  <si>
    <t>Efficient Boiler Operations Sourcebook</t>
  </si>
  <si>
    <t>TJ288 .E33 1996eb</t>
  </si>
  <si>
    <t>Steam-boilers--Efficiency.</t>
  </si>
  <si>
    <t>Payne, F. William-Thompson, Richard E.</t>
  </si>
  <si>
    <t>The Jail</t>
  </si>
  <si>
    <t>Managing the Underclass in American Society</t>
  </si>
  <si>
    <t>HV8324 .I79 1985eb</t>
  </si>
  <si>
    <t>Jails--Social aspects--California--Case studies.,Prison psychology.,Prisoners--California--Case studies.</t>
  </si>
  <si>
    <t>Irwin, John</t>
  </si>
  <si>
    <t>How to Implement and Supervise a Learning Style Program</t>
  </si>
  <si>
    <t>ASCD</t>
  </si>
  <si>
    <t>LB1060 .D86 1996eb</t>
  </si>
  <si>
    <t>Cognitive styles--United States.,Learning.,School supervision--United States.</t>
  </si>
  <si>
    <t>Dunn, Rita Stafford</t>
  </si>
  <si>
    <t>Managing American Wildlife</t>
  </si>
  <si>
    <t>A History of the International Association of Fish and Wildlife Agencies</t>
  </si>
  <si>
    <t>QL84.2 .B45 1988eb</t>
  </si>
  <si>
    <t>Wildlife conservation--United States--History.,Wildlife management--United States--History.</t>
  </si>
  <si>
    <t>Belanger, Dian Olson</t>
  </si>
  <si>
    <t>Powerline</t>
  </si>
  <si>
    <t>The First Battle of America's Energy War</t>
  </si>
  <si>
    <t>HD9502.U53 M625eb</t>
  </si>
  <si>
    <t>Electric lines--Location--Minnesota--Citizen participation.,Energy policy--Social aspects--Minnesota.,Overhead electric lines--Social aspects--Minnesota.</t>
  </si>
  <si>
    <t>Casper, Barry M.-Wellstone, Paul David</t>
  </si>
  <si>
    <t>Facilities Evaluation Handbook</t>
  </si>
  <si>
    <t>Safety, Fire Protection, and Environmental Compliance</t>
  </si>
  <si>
    <t>TH453 .P49 1999eb</t>
  </si>
  <si>
    <t>Building inspection.,Buildings--Performance.,Buildings--Safety measures.</t>
  </si>
  <si>
    <t>Petrocelly, K. L.-Thumann, Albert.</t>
  </si>
  <si>
    <t>Control and Instrumentation Technology in HVAC</t>
  </si>
  <si>
    <t>PCs and Environmental Control</t>
  </si>
  <si>
    <t>TH7466.5 .H67 1999eb</t>
  </si>
  <si>
    <t>Air conditioning--Automatic control.,Digital control systems.,Heating--Automatic control.,Ventilation--Automatic control.</t>
  </si>
  <si>
    <t>Hordeski, Michael F.</t>
  </si>
  <si>
    <t>Patterns of Consciousness</t>
  </si>
  <si>
    <t>An Essay on Coleridge</t>
  </si>
  <si>
    <t>PR4484 .H35eb</t>
  </si>
  <si>
    <t>Haven, Richard</t>
  </si>
  <si>
    <t>Twilight of Subjectivity</t>
  </si>
  <si>
    <t>Contributions to a Post-individualist Theory of Politics</t>
  </si>
  <si>
    <t>HM136 .D27eb</t>
  </si>
  <si>
    <t>Individualism.,Intersubjectivity.,Political psychology.,Social evolution.,Subjectivity.</t>
  </si>
  <si>
    <t>Dallmayr, Fred R.</t>
  </si>
  <si>
    <t>Fielding's Moral Psychology</t>
  </si>
  <si>
    <t>PR3457 .G65eb</t>
  </si>
  <si>
    <t>Didactic fiction, English--History and criticism.,Ethics in literature.,Psychological fiction, English--History and criticism.,Psychology in literature.</t>
  </si>
  <si>
    <t>Golden, Morris.</t>
  </si>
  <si>
    <t>When the Eiffel Tower Was New</t>
  </si>
  <si>
    <t>French Visions of Progress at the Centennial of the Revolution</t>
  </si>
  <si>
    <t>DC715 .L473 1989eb</t>
  </si>
  <si>
    <t>Art nouveau--France--Exhibitions.,Technological innovations--France--History--19th century--Exhibitions.,Tour Eiffel (Paris, France)--Exhibitions.</t>
  </si>
  <si>
    <t>Levin, Miriam R.-Mount Holyoke College.-Davison Art Center.-MIT Museum.</t>
  </si>
  <si>
    <t>Artwriting</t>
  </si>
  <si>
    <t>N7476 .C37 1987eb</t>
  </si>
  <si>
    <t>Art criticism--History--20th century.,Art criticism--Philosophy.</t>
  </si>
  <si>
    <t>Carrier, David</t>
  </si>
  <si>
    <t>Experience &amp; Theory</t>
  </si>
  <si>
    <t>B105.E9 E94eb</t>
  </si>
  <si>
    <t>Experience.,Theory (Philosophy)</t>
  </si>
  <si>
    <t>Foster, Lawrence-Swanson, Joe William</t>
  </si>
  <si>
    <t>Wood, Brick, and Stone</t>
  </si>
  <si>
    <t>The North American Settlement Landscape</t>
  </si>
  <si>
    <t>ARCHITECTURE / Buildings / Residential</t>
  </si>
  <si>
    <t>NA703 .N6 1984eb</t>
  </si>
  <si>
    <t>Vernacular architecture--North America.</t>
  </si>
  <si>
    <t>Noble, Allen George-Geib, M. Margaret.</t>
  </si>
  <si>
    <t>And a Time to Die</t>
  </si>
  <si>
    <t>The Pain and Love of a Journey Home with AIDS</t>
  </si>
  <si>
    <t>Herald Press</t>
  </si>
  <si>
    <t>RC607.A26 G6354 1995eb</t>
  </si>
  <si>
    <t>AIDS (Disease)--Patients--United States--Biography.</t>
  </si>
  <si>
    <t>Greaser, Frances Bontrager</t>
  </si>
  <si>
    <t>Essential Carlstadt</t>
  </si>
  <si>
    <t>Fifteen Tracts by Andreas Bodenstein (Carlstadt) From Karlstadt</t>
  </si>
  <si>
    <t>BR75 .K37 1995eb</t>
  </si>
  <si>
    <t>Theology--Early works to 1800.</t>
  </si>
  <si>
    <t>Karlstadt, Andreas Rudolff-Bodenstein von-Furcha, Edward J.</t>
  </si>
  <si>
    <t>Classics of the Radical Reformation</t>
  </si>
  <si>
    <t>Bioethics and the Beginning of Life</t>
  </si>
  <si>
    <t>An Anabaptist Perspective</t>
  </si>
  <si>
    <t>HEALTH &amp; FITNESS / Sexuality</t>
  </si>
  <si>
    <t>QP251 .B562 1990eb</t>
  </si>
  <si>
    <t>Human reproduction--Moral and ethical aspects.,Human reproductive technology--Moral and ethical aspects.</t>
  </si>
  <si>
    <t>Miller, Roman J.-Brubaker, Beryl H.</t>
  </si>
  <si>
    <t>The Gift of Presence</t>
  </si>
  <si>
    <t>Stories That Celebrate Nurses Serving in the Name of Christ</t>
  </si>
  <si>
    <t>RT34 .G43 1991eb</t>
  </si>
  <si>
    <t>Mennonite nurses--United States--Biography.,Missionaries, Medical--United States--Biography.</t>
  </si>
  <si>
    <t>Jackson, Dave.-Jackson, Neta.-Landis, Beth-Mennonite Nurses Association.</t>
  </si>
  <si>
    <t>Primates in the Classroom</t>
  </si>
  <si>
    <t>An Evolutionary Perspective on Children's Education</t>
  </si>
  <si>
    <t>EDUCATION / Philosophy, Theory &amp; Social Aspects</t>
  </si>
  <si>
    <t>LC191.4 .B47 1988eb</t>
  </si>
  <si>
    <t>Education--Social aspects--United States.,Learning.,Socialization.</t>
  </si>
  <si>
    <t>Bernhard, J. Gary</t>
  </si>
  <si>
    <t>Oedipus the King</t>
  </si>
  <si>
    <t>PA4414.O7 B33 1982eb</t>
  </si>
  <si>
    <t>Sophocles.-Bagg, Robert.</t>
  </si>
  <si>
    <t>A Neat Plain Modern Stile</t>
  </si>
  <si>
    <t>Philip Hooker and His Contemporaries, 1796-1836</t>
  </si>
  <si>
    <t>NA737.H6 A4 1993eb</t>
  </si>
  <si>
    <t>Architecture, Modern--19th century--New York (State)--Exhibitions.,Architecture--New York (State)--Exhibitions.</t>
  </si>
  <si>
    <t>Bucher, Douglas G.-Wheeler, W. Richard.-Tomlan, Mary Raddant.-Albany Institute of History and Art.-Fred L. Emerson Gallery.</t>
  </si>
  <si>
    <t>Colt</t>
  </si>
  <si>
    <t>The Making of an American Legend</t>
  </si>
  <si>
    <t>TS533.62.C65 H67 1996eb</t>
  </si>
  <si>
    <t>Colt revolver--History.,Gunsmiths--Connecticut--Hartford--Biography.</t>
  </si>
  <si>
    <t>Hosley, William N.</t>
  </si>
  <si>
    <t>Wittgenstein, Language and World</t>
  </si>
  <si>
    <t>B3376.W564 C36eb</t>
  </si>
  <si>
    <t>Criterion (Theory of knowledge),Judgment (Logic),Language and languages--Philosophy.,Necessity (Philosophy)</t>
  </si>
  <si>
    <t>Canfield, John V.</t>
  </si>
  <si>
    <t>The Black Protagonist in the Cuban Novel</t>
  </si>
  <si>
    <t>PQ7382 .B313 1979eb</t>
  </si>
  <si>
    <t>Blacks in literature.,Cuban fiction--History and criticism.</t>
  </si>
  <si>
    <t>Barreda, Pedro</t>
  </si>
  <si>
    <t>Salvation and the Perfect Society</t>
  </si>
  <si>
    <t>The Eternal Quest</t>
  </si>
  <si>
    <t>BL476 .B7 1979eb</t>
  </si>
  <si>
    <t>Humanism.,Religions.,Salvation--Comparative studies.,Utopias.</t>
  </si>
  <si>
    <t>Braunthal, Alfred.</t>
  </si>
  <si>
    <t>Myth and History in Caribbean Fiction</t>
  </si>
  <si>
    <t>Alejo Carpentier, Wilson Harris, and Edouard Glissant</t>
  </si>
  <si>
    <t>PN849.C3 W4 1992eb</t>
  </si>
  <si>
    <t>Caribbean fiction--History and criticism.,History in literature.,Literature and history.,Myth in literature.</t>
  </si>
  <si>
    <t>Webb, Barbara J.</t>
  </si>
  <si>
    <t>Lvov Ghetto Diary</t>
  </si>
  <si>
    <t>HISTORY / Europe / Eastern</t>
  </si>
  <si>
    <t>DS135.R93 L89513 1990eb</t>
  </si>
  <si>
    <t>Holocaust, Jewish (1939-1945)--Ukraine--LÃ¢viv--Personal narratives.,Jews--Persecutions--Ukraine--LÃ¢viv.,Rabbis--Ukraine--LÃ¢viv--Biography.</t>
  </si>
  <si>
    <t>Kahana, David</t>
  </si>
  <si>
    <t>Henry James</t>
  </si>
  <si>
    <t>The Writer and His Work</t>
  </si>
  <si>
    <t>PS2124 .T34 1989eb</t>
  </si>
  <si>
    <t>Tanner, Tony.</t>
  </si>
  <si>
    <t>Destiny and Race</t>
  </si>
  <si>
    <t>Selected Writings, 1840-1898</t>
  </si>
  <si>
    <t>E185.97.C87 A25 1992eb</t>
  </si>
  <si>
    <t>African Americans.,African Americans--Colonization--Liberia.,African Americans--Religion.</t>
  </si>
  <si>
    <t>Crummell, Alexander-Moses, Wilson Jeremiah</t>
  </si>
  <si>
    <t>Black Drama of the Federal Theatre Era</t>
  </si>
  <si>
    <t>Beyond the Formal Horizons</t>
  </si>
  <si>
    <t>PS338.N4 C7 1980eb</t>
  </si>
  <si>
    <t>African Americans in literature.,American drama--20th century--History and criticism.,American drama--African American authors--History and criticism.</t>
  </si>
  <si>
    <t>Craig, E. Quita</t>
  </si>
  <si>
    <t>Act &amp; Quality</t>
  </si>
  <si>
    <t>A Theory of Literary Meaning and Humanistic Understanding</t>
  </si>
  <si>
    <t>PN81 .A453eb</t>
  </si>
  <si>
    <t>Hermeneutics.,Literature--History and criticism--Theory, etc.,Literature--Philosophy.,Semantics.</t>
  </si>
  <si>
    <t>Altieri, Charles</t>
  </si>
  <si>
    <t>The The Long White</t>
  </si>
  <si>
    <t>University Of Iowa Press</t>
  </si>
  <si>
    <t>PS3554.I436 L6 1988eb</t>
  </si>
  <si>
    <t>American fiction.,Short stories, American.</t>
  </si>
  <si>
    <t>Dilworth, Sharon.</t>
  </si>
  <si>
    <t>The Iowa Short Fiction Award</t>
  </si>
  <si>
    <t>Temptation of the Word</t>
  </si>
  <si>
    <t>The Novels of Mario Vargas Llosa</t>
  </si>
  <si>
    <t>PQ8498.32.A65 Z697 1999eb</t>
  </si>
  <si>
    <t>Carlos Fuentes, Mexico and Modernity</t>
  </si>
  <si>
    <t>PQ7297.F793 Z933 1998eb</t>
  </si>
  <si>
    <t>Van Delden, Maarten</t>
  </si>
  <si>
    <t>The Correspondence of W. E. B. Du Bois</t>
  </si>
  <si>
    <t>E185.97.D73 A4 1978eb</t>
  </si>
  <si>
    <t>African Americans--Correspondence.,Civil rights workers--United States--Correspondence.,Intellectuals--United States--Correspondence.</t>
  </si>
  <si>
    <t>Du Bois, W. E. B.-Aptheker, Herbert</t>
  </si>
  <si>
    <t>E185.97.D73 A4 1976eb</t>
  </si>
  <si>
    <t>The Correspondence of W.E.B. Du Bois</t>
  </si>
  <si>
    <t>E185.97.D73 A4 1973 v. 1eb</t>
  </si>
  <si>
    <t>Lobbying for Higher Education</t>
  </si>
  <si>
    <t>How Colleges and Universities Influence Federal Policy</t>
  </si>
  <si>
    <t>LC173 .C66 1998eb</t>
  </si>
  <si>
    <t>Education--United States--Societies, etc.,Higher education and state--United States.,Lobbying--United States.,Universities and colleges--Government policy--United States.</t>
  </si>
  <si>
    <t>Cook, Constance Ewing.</t>
  </si>
  <si>
    <t>Stravinsky</t>
  </si>
  <si>
    <t>Chronicle of a Friendship</t>
  </si>
  <si>
    <t>ML410.S932 C8 1994eb</t>
  </si>
  <si>
    <t>Composers--Biography.</t>
  </si>
  <si>
    <t>Craft, Robert.</t>
  </si>
  <si>
    <t>The Life and Thought of Josiah Royce</t>
  </si>
  <si>
    <t>B945.R64 C54 1999eb</t>
  </si>
  <si>
    <t>Philosophers--United States--Biography.</t>
  </si>
  <si>
    <t>Clendenning, John</t>
  </si>
  <si>
    <t>A Road Map to War</t>
  </si>
  <si>
    <t>Territorial Dimensions of International Conflict</t>
  </si>
  <si>
    <t>JZ1242 .R63 1999eb</t>
  </si>
  <si>
    <t>Boundary disputes.,International relations.,Partition, Territorial.,World politics--20th century.</t>
  </si>
  <si>
    <t>Diehl, Paul F.</t>
  </si>
  <si>
    <t>Enter Rabelais, Laughing</t>
  </si>
  <si>
    <t>PQ1694 .B63 1998eb</t>
  </si>
  <si>
    <t>Comic, The, in literature.</t>
  </si>
  <si>
    <t>Bowen, Barbara C.</t>
  </si>
  <si>
    <t>Volunteer Forty-niners</t>
  </si>
  <si>
    <t>Tennesseans and the California Gold Rush</t>
  </si>
  <si>
    <t>HISTORY / United States / State &amp; Local / General</t>
  </si>
  <si>
    <t>F865 .D94 1997eb</t>
  </si>
  <si>
    <t>Migration, Internal--United States--History--19th century.</t>
  </si>
  <si>
    <t>Durham, Walter T.</t>
  </si>
  <si>
    <t>Transforming Experience</t>
  </si>
  <si>
    <t>John Dewey's Cultural Instrumentalism</t>
  </si>
  <si>
    <t>B945.D44 E43 1998eb</t>
  </si>
  <si>
    <t>Instrumentalism (Philosophy)</t>
  </si>
  <si>
    <t>Eldridge, Michael.</t>
  </si>
  <si>
    <t>The Nashville Sound</t>
  </si>
  <si>
    <t>Authenticity, Commercialization, and Country Music</t>
  </si>
  <si>
    <t>MUSIC / Genres &amp; Styles / Country &amp; Bluegrass</t>
  </si>
  <si>
    <t>ML3524 .J46 1998eb</t>
  </si>
  <si>
    <t>Country music--History and criticism.</t>
  </si>
  <si>
    <t>Jensen, Joli.</t>
  </si>
  <si>
    <t>Safety Management</t>
  </si>
  <si>
    <t>A Guide for Facility Managers</t>
  </si>
  <si>
    <t>T55 .G795 1996eb</t>
  </si>
  <si>
    <t>Facility management--United States.,Industrial safety--United States--Management.</t>
  </si>
  <si>
    <t>Gustin, Joseph F.</t>
  </si>
  <si>
    <t>The Facilities Management Library</t>
  </si>
  <si>
    <t>Lighting Upgrades</t>
  </si>
  <si>
    <t>BUSINESS &amp; ECONOMICS / Facility Management</t>
  </si>
  <si>
    <t>TK4399.F2 W69 1996eb</t>
  </si>
  <si>
    <t>Electric lighting.,Factories--Energy conservation.,Factories--Lighting.</t>
  </si>
  <si>
    <t>Wood, Damon</t>
  </si>
  <si>
    <t>Water Quality &amp; Systems</t>
  </si>
  <si>
    <t>TECHNOLOGY &amp; ENGINEERING / Construction / Plumbing</t>
  </si>
  <si>
    <t>TH6126 .R32 1996eb</t>
  </si>
  <si>
    <t>Plumbing.,Water quality management.</t>
  </si>
  <si>
    <t>Reid, Robert N.</t>
  </si>
  <si>
    <t>Disaster &amp; Recovery Planning</t>
  </si>
  <si>
    <t>HV551.3 .G87 1996eb</t>
  </si>
  <si>
    <t>Emergency management--United States.</t>
  </si>
  <si>
    <t>Fire Protection</t>
  </si>
  <si>
    <t>TH9245 .W34 1996eb</t>
  </si>
  <si>
    <t>Fire extinction--Equipment and supplies.,Fire prevention--Equipment and supplies.</t>
  </si>
  <si>
    <t>Wagner, David H.</t>
  </si>
  <si>
    <t>Indoor Air Quality</t>
  </si>
  <si>
    <t>TH7015 .B38 1996eb</t>
  </si>
  <si>
    <t>Air conditioning.,Air quality management.,Heating.,Indoor air pollution.,Ventilation.</t>
  </si>
  <si>
    <t>Bas, Ed</t>
  </si>
  <si>
    <t>Chemical Treatment for Cooling Water</t>
  </si>
  <si>
    <t>TJ563 .M18 1998eb</t>
  </si>
  <si>
    <t>Cooling towers.,Water--Purification.</t>
  </si>
  <si>
    <t>Mathie, Alton J.</t>
  </si>
  <si>
    <t>Fundamentals of Electrical Control</t>
  </si>
  <si>
    <t>TK7881.2 .P55 1999eb</t>
  </si>
  <si>
    <t>Electronic control.,Logic design.,Programmable logic devices.</t>
  </si>
  <si>
    <t>Phipps, Clarence A.</t>
  </si>
  <si>
    <t>Electrical Transformers and Power Equipment</t>
  </si>
  <si>
    <t>TK2551 .P286 1999eb</t>
  </si>
  <si>
    <t>Electric apparatus and appliances--Protection.,Electric transformers.</t>
  </si>
  <si>
    <t>Pansini, Anthony J.</t>
  </si>
  <si>
    <t>Variable Speed Drive Fundamentals</t>
  </si>
  <si>
    <t>TECHNOLOGY &amp; ENGINEERING / Machinery</t>
  </si>
  <si>
    <t>TJ1051 .P55 1999eb</t>
  </si>
  <si>
    <t>Variable speed drives.</t>
  </si>
  <si>
    <t>Exploring Energy &amp; Facilities Management Opportunities in a Changing Marketplace</t>
  </si>
  <si>
    <t>TJ163.15 .E95 1999eb</t>
  </si>
  <si>
    <t>Energy industries--Deregulation--Congresses.,Energy industries--Environmental aspects--Congresses.,Energy policy--Economic aspects--Congresses.,Power resources--Management--Congresses.</t>
  </si>
  <si>
    <t>Ricketts Flanagan, Jana.</t>
  </si>
  <si>
    <t>Indoor Air Quality Case Studies Reference Guide</t>
  </si>
  <si>
    <t>TD883.2 .I5277 1999eb</t>
  </si>
  <si>
    <t>Air quality management--United States--Case studies.,Indoor air pollution--United States--Case studies.</t>
  </si>
  <si>
    <t>Benda, George J.</t>
  </si>
  <si>
    <t>Plant Engineers and Managers Guide to Energy Conservation</t>
  </si>
  <si>
    <t>TJ163.5.F3 T48 1999eb</t>
  </si>
  <si>
    <t>Factories--Energy conservation--Handbooks, manuals, etc.</t>
  </si>
  <si>
    <t>Thumann, Albert.</t>
  </si>
  <si>
    <t>Energy &amp; the Deregulated Marketplace</t>
  </si>
  <si>
    <t>1998 Survey</t>
  </si>
  <si>
    <t>BUSINESS &amp; ECONOMICS / Industries / Service</t>
  </si>
  <si>
    <t>TJ163.4.U6 F69 1998eb</t>
  </si>
  <si>
    <t>Energy consumption--United States.,Energy industries--Deregulation--United States.,Market surveys--United States.</t>
  </si>
  <si>
    <t>Fowler, Ruth Bennett.</t>
  </si>
  <si>
    <t>User's Guide to Natural Gas Technologies</t>
  </si>
  <si>
    <t>TP350 .U74 1999eb</t>
  </si>
  <si>
    <t>Natural gas--Industrial applications.,Natural gas--Technological innovations.</t>
  </si>
  <si>
    <t>Payne, F. William</t>
  </si>
  <si>
    <t>Handbook of Energy Audits</t>
  </si>
  <si>
    <t>TJ163.245 .T48 1998eb</t>
  </si>
  <si>
    <t>Energy auditing--Handbooks, manuals, etc.</t>
  </si>
  <si>
    <t>Building Owner's and Manager's Guide</t>
  </si>
  <si>
    <t>Optimizing Facility Performance</t>
  </si>
  <si>
    <t>TX955 .C87 1999eb</t>
  </si>
  <si>
    <t>Building management.</t>
  </si>
  <si>
    <t>Curl, Robert S.</t>
  </si>
  <si>
    <t>Energy &amp; Environmental Visions for the New Millennium</t>
  </si>
  <si>
    <t>TJ163.27 .E48 1998eb</t>
  </si>
  <si>
    <t>Energy conservation--Congresses.,Power (Mechanics)--Congresses.,Power resources--Environmental aspects--Congresses.</t>
  </si>
  <si>
    <t>Ricketts Flanagan, Jana.-Association of Energy Engineers.</t>
  </si>
  <si>
    <t>Manual on Experimental Methods for Mechanical Testing of Composites</t>
  </si>
  <si>
    <t>TA418.9.C6 M29 1998eb</t>
  </si>
  <si>
    <t>Composite materials--Testing.</t>
  </si>
  <si>
    <t>Jenkins, C. H.-Society for Experimental Mechanics (U.S.)</t>
  </si>
  <si>
    <t>Successful Industrial Energy Reduction Programs</t>
  </si>
  <si>
    <t>TJ163.3 .C85 1997eb</t>
  </si>
  <si>
    <t>Industry--Energy conservation.,Industry--Energy conservation--Case studies.</t>
  </si>
  <si>
    <t>Power Quality Solutions</t>
  </si>
  <si>
    <t>Case Studies for Troubleshooters</t>
  </si>
  <si>
    <t>TK1005 .P7168 1999eb</t>
  </si>
  <si>
    <t>Electric network analysis.,Electric power systems--Electric losses.,Transients (Electricity)</t>
  </si>
  <si>
    <t>Porter, Gregory J.-Van Sciver, J. Andrew</t>
  </si>
  <si>
    <t>Cogeneration &amp; Small Power Production Manual</t>
  </si>
  <si>
    <t>TK1041 .S64 1997eb</t>
  </si>
  <si>
    <t>Cogeneration of electric power and heat.</t>
  </si>
  <si>
    <t>Spiewak, Scott A.-Weiss, Larry</t>
  </si>
  <si>
    <t>Boiler Plant and Distribution System Optimization Manual</t>
  </si>
  <si>
    <t>TJ288 .T36 1998eb</t>
  </si>
  <si>
    <t>Steam power plants--Design and construction.,Steam-boilers--Efficiency.</t>
  </si>
  <si>
    <t>Taplin, Harry</t>
  </si>
  <si>
    <t>Energy Business &amp; Technology Sourcebook</t>
  </si>
  <si>
    <t>TJ163.3 .E526 1997eb</t>
  </si>
  <si>
    <t>Energy conservation--United States--Handbooks, manuals, etc.,Energy policy--United States--Handbooks, manuals, etc.,Power (Mechanics)--Handbooks, manuals, etc.</t>
  </si>
  <si>
    <t>Efficient HVAC Systems Deskbook</t>
  </si>
  <si>
    <t>TH7015 .T48 1997eb</t>
  </si>
  <si>
    <t>Air conditioning.,Heating.,Ventilation.</t>
  </si>
  <si>
    <t>Handbook of Energy Engineering</t>
  </si>
  <si>
    <t>TJ163.2 .T49 1997eb</t>
  </si>
  <si>
    <t>Power (Mechanics)--Handbooks, manuals, etc.,Power resources--Handbooks, manuals, etc.</t>
  </si>
  <si>
    <t>Thumann, Albert.-Mehta, D. Paul</t>
  </si>
  <si>
    <t>Analyzing Field Measurements</t>
  </si>
  <si>
    <t>Air Conditioning &amp; Heating</t>
  </si>
  <si>
    <t>TH7687.5 .C87 1997eb</t>
  </si>
  <si>
    <t>Air conditioning--Efficiency.,Cooling load--Measurement.,Heating load--Measurement.,Heating.</t>
  </si>
  <si>
    <t>Cogeneration Management Reference Guide</t>
  </si>
  <si>
    <t>TK1041 .C6327 1997eb</t>
  </si>
  <si>
    <t>Vision 2001: Energy &amp; Environmental Engineering</t>
  </si>
  <si>
    <t>TJ163.2 .V57 1996eb</t>
  </si>
  <si>
    <t>Environmental engineering.,Power resources.</t>
  </si>
  <si>
    <t>Competitive Energy Management &amp; Environmental Technologies</t>
  </si>
  <si>
    <t>TJ163.3 .C65 1995eb</t>
  </si>
  <si>
    <t>Energy conservation.,Environmental protection.</t>
  </si>
  <si>
    <t>Energy &amp; Pollution Control Opportunities to the Year 2000</t>
  </si>
  <si>
    <t>TD5 .E54 1994eb</t>
  </si>
  <si>
    <t>Air quality management--Congresses.,Chlorofluorocarbons--Environmental aspects--Congresses.,Environmental engineering--Congresses.,Global warming--Economic aspects--Congresses.,Pollution control industry--Congresses.</t>
  </si>
  <si>
    <t>Jackson, Marilyn.</t>
  </si>
  <si>
    <t>Energy Conservation in Existing Buildings Deskbook</t>
  </si>
  <si>
    <t>TJ163.5.B84 E5275 1991eb</t>
  </si>
  <si>
    <t>Buildings--Energy conservation--Handbooks, manuals, etc.</t>
  </si>
  <si>
    <t>Lighting Efficiency Applications</t>
  </si>
  <si>
    <t>TK4169 .L52 1991eb</t>
  </si>
  <si>
    <t>Electric lighting.,Electric power--Conservation.</t>
  </si>
  <si>
    <t>International Load Management</t>
  </si>
  <si>
    <t>Methods and Practices</t>
  </si>
  <si>
    <t>TK1191 .I68 1988eb</t>
  </si>
  <si>
    <t>Electric power-plants--Load.</t>
  </si>
  <si>
    <t>Limaye, Dilip R.-Rabl, Veronika-Electric Power Research Institute.</t>
  </si>
  <si>
    <t>Meeting Freud's Family</t>
  </si>
  <si>
    <t>BF109.F74 R634 1993eb</t>
  </si>
  <si>
    <t>Psychoanalysts--Austria--Biography.</t>
  </si>
  <si>
    <t>Roazen, Paul</t>
  </si>
  <si>
    <t>Sartre's Concept of a Person</t>
  </si>
  <si>
    <t>An Analytic Approach</t>
  </si>
  <si>
    <t>PHILOSOPHY / Mind &amp; Body</t>
  </si>
  <si>
    <t>B2430.S34 M65 1976eb</t>
  </si>
  <si>
    <t>Personality.</t>
  </si>
  <si>
    <t>Morris, Phyllis Sutton</t>
  </si>
  <si>
    <t>Faulkner's Narrative Poetics</t>
  </si>
  <si>
    <t>Style As Vision</t>
  </si>
  <si>
    <t>PS3511.A86 Z866eb</t>
  </si>
  <si>
    <t>English language--Style.,Narration (Rhetoric),Poetics.</t>
  </si>
  <si>
    <t>Kinney, Arthur F.</t>
  </si>
  <si>
    <t>The Fragile Thread</t>
  </si>
  <si>
    <t>The Meaning of Form in Faulkner's Novels</t>
  </si>
  <si>
    <t>PS3511.A86 Z85895eb</t>
  </si>
  <si>
    <t>Fiction--Technique.,Literary form.</t>
  </si>
  <si>
    <t>Kartiganer, Donald M.</t>
  </si>
  <si>
    <t>Shakespeare in Sable</t>
  </si>
  <si>
    <t>A History of Black Shakespearean Actors</t>
  </si>
  <si>
    <t>PR3105 .H54 1984eb</t>
  </si>
  <si>
    <t>African American actors--Biography.,Theater--United States--History.</t>
  </si>
  <si>
    <t>Hill, Errol.</t>
  </si>
  <si>
    <t>Frost: a Time to Talk</t>
  </si>
  <si>
    <t>PS3511.R94 Z653eb</t>
  </si>
  <si>
    <t>Poetry--Authorship.,Poets, American--20th century--Interviews.</t>
  </si>
  <si>
    <t>Francis, Robert</t>
  </si>
  <si>
    <t>Busted</t>
  </si>
  <si>
    <t>A Vietnam Veteran in Nixon's America</t>
  </si>
  <si>
    <t>DS559.72 .E36 1995eb</t>
  </si>
  <si>
    <t>Marijuana--Law and legislation--United States.,Vietnam War, 1961-1975--Veterans--United States.</t>
  </si>
  <si>
    <t>Ehrhart, W. D.</t>
  </si>
  <si>
    <t>The Properties of Othello</t>
  </si>
  <si>
    <t>DRAMA / Shakespeare</t>
  </si>
  <si>
    <t>PR2829 .C29 1989eb</t>
  </si>
  <si>
    <t>Blacks in literature.,Muslims in literature.,Property in literature.,Self in literature.,Tragedy.</t>
  </si>
  <si>
    <t>Calderwood, James L.-Shakespeare, William</t>
  </si>
  <si>
    <t>Writing Between the Lines</t>
  </si>
  <si>
    <t>An Anthology on War and Its Social Consequences</t>
  </si>
  <si>
    <t>PN6071.W35 W75 1997eb</t>
  </si>
  <si>
    <t>Vietnam War, 1961-1975--Literary collections.,War and society.,War--Literary collections.</t>
  </si>
  <si>
    <t>Bowen, Kevin-Weigl, Bruce</t>
  </si>
  <si>
    <t>Principles of Polymer Science and Technology in Cosmetics and Personal Care</t>
  </si>
  <si>
    <t>TP983 .P8924 1999eb</t>
  </si>
  <si>
    <t>Cosmetics.,Polymers.,Toilet preparations.</t>
  </si>
  <si>
    <t>Goddard, E. D.-Gruber, James V.</t>
  </si>
  <si>
    <t>Cosmetic Science and Technology</t>
  </si>
  <si>
    <t>The Roots of Walden and the Tree of Life</t>
  </si>
  <si>
    <t>PS3048 .B6 1990eb</t>
  </si>
  <si>
    <t>Nature in literature.,Tree of life in literature.</t>
  </si>
  <si>
    <t>Boudreau, Gordon V.</t>
  </si>
  <si>
    <t>Copyright in Historical Perspective</t>
  </si>
  <si>
    <t>K1420.5 .P38 1968eb</t>
  </si>
  <si>
    <t>Copyright--Great Britain--History.,Copyright--United States--History.</t>
  </si>
  <si>
    <t>Patterson, L. Ray</t>
  </si>
  <si>
    <t>Ratio and Invention</t>
  </si>
  <si>
    <t>A Study of Medieval Lyric and Narrative</t>
  </si>
  <si>
    <t>PN691 .E48 1989eb</t>
  </si>
  <si>
    <t>Poetry, Medieval--History and criticism.,Poets in literature.</t>
  </si>
  <si>
    <t>Edwards, Robert</t>
  </si>
  <si>
    <t>Little Book of Wisdom</t>
  </si>
  <si>
    <t>PN6081 .L573 1996eb</t>
  </si>
  <si>
    <t>Torregrossa, Richard.</t>
  </si>
  <si>
    <t>The Betrayal Bond</t>
  </si>
  <si>
    <t>Breaking Free of Exploitive Relationships</t>
  </si>
  <si>
    <t>RC552.R44 C37 1997eb</t>
  </si>
  <si>
    <t>Betrayal--Psychological aspects.,Exploitation--Psychological aspects.,Psychological abuse.,Relationship addiction.,Victims--Psychology.</t>
  </si>
  <si>
    <t>Carnes, Patrick</t>
  </si>
  <si>
    <t>Stand Like Mountain, Flow Like Water</t>
  </si>
  <si>
    <t>Reflections on Stress and Human Spirituality</t>
  </si>
  <si>
    <t>BL624 .S423 1997eb</t>
  </si>
  <si>
    <t>Spiritual life.,Stress (Psychology)--Religious aspects.</t>
  </si>
  <si>
    <t>Seaward, Brian Luke.</t>
  </si>
  <si>
    <t>Puppies For Sale and Other Inspirational Tales</t>
  </si>
  <si>
    <t>A "Litter" of Stories and Anecdotes That Hug the Heart &amp; Snuggle the Soul</t>
  </si>
  <si>
    <t>BJ1597 .C57 1997eb</t>
  </si>
  <si>
    <t>Conduct of life.</t>
  </si>
  <si>
    <t>Clark, Dan-Gale, Michael.</t>
  </si>
  <si>
    <t>Memory and Abuse</t>
  </si>
  <si>
    <t>Remembering and Healing the Effects of Trauma</t>
  </si>
  <si>
    <t>RC569.5.C55 W45 1995eb</t>
  </si>
  <si>
    <t>Adult child abuse victims--Psychology.,False memory syndrome.,Recovered memory.</t>
  </si>
  <si>
    <t>Whitfield, Charles L.</t>
  </si>
  <si>
    <t>How to Turn Your Money Life Around</t>
  </si>
  <si>
    <t>The Money Book for Women</t>
  </si>
  <si>
    <t>BUSINESS &amp; ECONOMICS / Personal Finance / Budgeting</t>
  </si>
  <si>
    <t>HG179 .H346 1992eb</t>
  </si>
  <si>
    <t>Women--Finance, Personal.</t>
  </si>
  <si>
    <t>Hayden, Ruth L.</t>
  </si>
  <si>
    <t>Daily Affirmations for Forgiving and Moving on</t>
  </si>
  <si>
    <t>RELIGION / Christian Theology / Soteriology</t>
  </si>
  <si>
    <t>BF637.F67 D39 1992eb</t>
  </si>
  <si>
    <t>Forgiveness.</t>
  </si>
  <si>
    <t>Compelled to Control</t>
  </si>
  <si>
    <t>Recovering Intimacy in Broken Relationships</t>
  </si>
  <si>
    <t>PSYCHOLOGY / Interpersonal Relations</t>
  </si>
  <si>
    <t>BF575.I5 M55 1997eb</t>
  </si>
  <si>
    <t>Control (Psychology),Interpersonal conflict.,Interpersonal relations.,Intimacy (Psychology)</t>
  </si>
  <si>
    <t>Miller, Keith.</t>
  </si>
  <si>
    <t>Children of Trauma</t>
  </si>
  <si>
    <t>Rediscovering Your Discarded Self</t>
  </si>
  <si>
    <t>RC569.5.C55 M53 1989eb</t>
  </si>
  <si>
    <t>Adult child abuse victims--Mental health.,Adult child abuse victims--Rehabilitation.,Self-care, Health.</t>
  </si>
  <si>
    <t>Middelton-Moz, Jane</t>
  </si>
  <si>
    <t>Boundaries and Relationships</t>
  </si>
  <si>
    <t>Knowing, Protecting, and Enjoying the Self</t>
  </si>
  <si>
    <t>HM132 .W5 1993eb</t>
  </si>
  <si>
    <t>Interpersonal relations.,Self.</t>
  </si>
  <si>
    <t>Followers of the New Faith</t>
  </si>
  <si>
    <t>Culture Change and the Rise of Protestantism in Brazil and Chile</t>
  </si>
  <si>
    <t>RELIGION / Christianity / Protestant</t>
  </si>
  <si>
    <t>BX4836.B8 W5eb</t>
  </si>
  <si>
    <t>Protestant churches--Brazil.,Protestant churches--Chile.</t>
  </si>
  <si>
    <t>Willems, EmÃ¢ilio.</t>
  </si>
  <si>
    <t>The Chief Rivals of Corneille and Racine</t>
  </si>
  <si>
    <t>PQ1240.E6 L6eb</t>
  </si>
  <si>
    <t>English drama--Translations, French.,French drama--17th century.,French drama--Translations into English.</t>
  </si>
  <si>
    <t>Lockert, Lacy</t>
  </si>
  <si>
    <t>Truth Is Stranger Than Publicity</t>
  </si>
  <si>
    <t>MUSIC / Printed Music / Vocal</t>
  </si>
  <si>
    <t>ML420.D443 A3 1995eb</t>
  </si>
  <si>
    <t>Country musicians--United States--Biography.</t>
  </si>
  <si>
    <t>Delmore, Alton.</t>
  </si>
  <si>
    <t>My Husband, Jimmie Rodgers</t>
  </si>
  <si>
    <t>Rodgers, Carrie.</t>
  </si>
  <si>
    <t>Architecture of Middle Tennessee</t>
  </si>
  <si>
    <t>The Historic American Buildings Survey.</t>
  </si>
  <si>
    <t>TRAVEL / United States / South / East South Central (AL, KY, MS, TN)</t>
  </si>
  <si>
    <t>NA730.T4 B78 1974eb</t>
  </si>
  <si>
    <t>Architecture--Tennessee, Middle.,Historic buildings--Tennessee, Middle.</t>
  </si>
  <si>
    <t>Brumbaugh, Thomas B.-Strayhorn, Martha I.-Gore, Gary G.-Historic American Buildings Survey.</t>
  </si>
  <si>
    <t>Translating for King James</t>
  </si>
  <si>
    <t>Being a True Copy of the Only Notes Made by a Translator of King James's Bible, the Authorized Version, As the Final Committee of Review Revised the Translation of Romans Through Revelation at Stationers' Hall in London in 1610-1611</t>
  </si>
  <si>
    <t>BIBLES / King James Version / General</t>
  </si>
  <si>
    <t>BS186 .B6eb</t>
  </si>
  <si>
    <t>Bois, John-Allen, Ward-Corpus Christi College (University of Oxford).-Walker, Anthony</t>
  </si>
  <si>
    <t>The Realism of William Dean Howells, 1889-1920</t>
  </si>
  <si>
    <t>PS2034 .B4 1973eb</t>
  </si>
  <si>
    <t>Realism in literature.</t>
  </si>
  <si>
    <t>Bennett, George N.</t>
  </si>
  <si>
    <t>Speaking of the University</t>
  </si>
  <si>
    <t>Two Decades at Vanderbilt</t>
  </si>
  <si>
    <t>LD5588.8 .H43 1995eb</t>
  </si>
  <si>
    <t>Heard, Alexander.</t>
  </si>
  <si>
    <t>The Flesh and the Word</t>
  </si>
  <si>
    <t>Eliot, Hemingway, Faulkner</t>
  </si>
  <si>
    <t>PS121 .W35eb</t>
  </si>
  <si>
    <t>American literature--20th century--History and criticism.</t>
  </si>
  <si>
    <t>Watkins, Floyd C.</t>
  </si>
  <si>
    <t>Living in the Eternal</t>
  </si>
  <si>
    <t>A Study of George Santayana</t>
  </si>
  <si>
    <t>B945.S24 W66 1988eb</t>
  </si>
  <si>
    <t>Woodward, Anthony</t>
  </si>
  <si>
    <t>Bob Wills</t>
  </si>
  <si>
    <t>Hubbin' It</t>
  </si>
  <si>
    <t>ML422.W6 S54 1995eb</t>
  </si>
  <si>
    <t>Western swing (Music)</t>
  </si>
  <si>
    <t>Knowles, Ruth Sheldon</t>
  </si>
  <si>
    <t>Hallucinated City. Paulicea Desvairada</t>
  </si>
  <si>
    <t>PQ9697.A72 P3 1968eb</t>
  </si>
  <si>
    <t>Andrade, MÃ¢ario de-Tomlins, Jack E.</t>
  </si>
  <si>
    <t>Curves and Surfaces with Applications in CAGD</t>
  </si>
  <si>
    <t>QA221 .C876 1997eb</t>
  </si>
  <si>
    <t>Approximation theory--Congresses.,Curves--Computer simulation--Congresses.,Spline theory--Congresses.,Surfaces--Computer simulation--Congresses.</t>
  </si>
  <si>
    <t>Le MÃ¢ehautÃ¢e, Alain.-Rabut, Christophe-Schumaker, Larry L.</t>
  </si>
  <si>
    <t>North for Union</t>
  </si>
  <si>
    <t>John Appleton's Journal of a Tour to New England Made by President Polk in June and July 1847</t>
  </si>
  <si>
    <t>E407 .N67 1986eb</t>
  </si>
  <si>
    <t>Mexican War, 1846-1848--Public opinion.,Public opinion--United States--History--19th century.</t>
  </si>
  <si>
    <t>Appleton, John-Cutler, Wayne-Polk, James K.</t>
  </si>
  <si>
    <t>Mathematical Models in Medical and Health Science</t>
  </si>
  <si>
    <t>R853.M3 M3747 1998eb</t>
  </si>
  <si>
    <t>Medical sciences--Research--Mathematical models--Miscellanea.,Medicine--Research--Mathematical models--Miscellanea.</t>
  </si>
  <si>
    <t>Horn, Mary Ann-Simonett, Gieri-Webb, G. F.</t>
  </si>
  <si>
    <t>Innovations in Applied Mathematics</t>
  </si>
  <si>
    <t>More Plays by Rivals of Corneille and Racine</t>
  </si>
  <si>
    <t>PQ1240.E6 L63eb</t>
  </si>
  <si>
    <t>French drama--17th century--Translations into English.,Verse drama, French--Translations into English.</t>
  </si>
  <si>
    <t>George Peabody, a Biography</t>
  </si>
  <si>
    <t>SOCIAL SCIENCE / Philanthropy &amp; Charity</t>
  </si>
  <si>
    <t>HV28.P4 P29 1995eb</t>
  </si>
  <si>
    <t>Capitalists and financiers--United States--Biography.,Philanthropists--United States--Biography.</t>
  </si>
  <si>
    <t>Parker, Franklin</t>
  </si>
  <si>
    <t>Studies in French-classical Tragedy</t>
  </si>
  <si>
    <t>PQ563 .L6eb</t>
  </si>
  <si>
    <t>French drama (Tragedy)--History and criticism.,French drama--17th century--History and criticism.</t>
  </si>
  <si>
    <t>Lockert, Lacy.</t>
  </si>
  <si>
    <t>Approximation Theory IX</t>
  </si>
  <si>
    <t>QA221 .A6446 1998eb</t>
  </si>
  <si>
    <t>Approximation theory--Congresses.</t>
  </si>
  <si>
    <t>Chui, C. K.-Schumaker, Larry L.</t>
  </si>
  <si>
    <t>Classical Nashville</t>
  </si>
  <si>
    <t>Athens of the South</t>
  </si>
  <si>
    <t>F444.N25 C58 1996eb</t>
  </si>
  <si>
    <t>Kreyling, Christine</t>
  </si>
  <si>
    <t>The Mistress-knowledge</t>
  </si>
  <si>
    <t>Sir Philip Sidney's Defence of Poesie and Literary Architectonics in the English Renaissance</t>
  </si>
  <si>
    <t>PR2343 .D57 1991eb</t>
  </si>
  <si>
    <t>Allegory.,English poetry--Early modern, 1500-1700--History and criticism--Theory, etc.,Knowledge, Theory of, in literature.,Poetry.,Renaissance--England.,Self-knowledge in literature.</t>
  </si>
  <si>
    <t>Doherty, M. J.</t>
  </si>
  <si>
    <t>History of Nineteenth-century Russian Literature</t>
  </si>
  <si>
    <t>PG3012 .C513eb</t>
  </si>
  <si>
    <t>Russian literature--19th century--History and criticism.</t>
  </si>
  <si>
    <t>Chyzhevskyi, Dmytro</t>
  </si>
  <si>
    <t>The History of Belle Meade</t>
  </si>
  <si>
    <t>Mansion, Plantation, and Stud</t>
  </si>
  <si>
    <t>F444.B43 W54 1991eb</t>
  </si>
  <si>
    <t>Wills, Ridley</t>
  </si>
  <si>
    <t>The Vanderbilt Campus</t>
  </si>
  <si>
    <t>A Pictorial History</t>
  </si>
  <si>
    <t>LD5588 .M33eb</t>
  </si>
  <si>
    <t>McGaw, Robert A.-Vanderbilt University.</t>
  </si>
  <si>
    <t>Lieutenant Lee of Beale Street</t>
  </si>
  <si>
    <t>E185.97.L43 T8eb</t>
  </si>
  <si>
    <t>African Americans--Politics and government.</t>
  </si>
  <si>
    <t>Tucker, David M.</t>
  </si>
  <si>
    <t>No Private Life</t>
  </si>
  <si>
    <t>PS3552.O555 N6 1990eb</t>
  </si>
  <si>
    <t>Electronic books.</t>
  </si>
  <si>
    <t>Boisseau, Michelle</t>
  </si>
  <si>
    <t>Champ Ferguson</t>
  </si>
  <si>
    <t>Confederate Guerilla</t>
  </si>
  <si>
    <t>E470.45.F4 S467 1985</t>
  </si>
  <si>
    <t>Sensing, Thurman</t>
  </si>
  <si>
    <t>The White Monk</t>
  </si>
  <si>
    <t>An Essay on Dostoevsky and Melville</t>
  </si>
  <si>
    <t>PG3328 .R35 1989eb</t>
  </si>
  <si>
    <t>Literature, Comparative--American and Russian.,Literature, Comparative--Russian and American.</t>
  </si>
  <si>
    <t>Reeve, F. D.</t>
  </si>
  <si>
    <t>The Critical Opinions of John Dryden</t>
  </si>
  <si>
    <t>A Dictionary</t>
  </si>
  <si>
    <t>PR3422 .A7 1963eb</t>
  </si>
  <si>
    <t>Aden, John M.</t>
  </si>
  <si>
    <t>The Hawk's Done Gone</t>
  </si>
  <si>
    <t>PS3515.A843</t>
  </si>
  <si>
    <t>Haun, Mildred.-Gower, Herschel.</t>
  </si>
  <si>
    <t>Physical Order and Moral Liberty</t>
  </si>
  <si>
    <t>Previously Unpublished Essays of George Santayana.</t>
  </si>
  <si>
    <t>B945.S21 L33 1969eb</t>
  </si>
  <si>
    <t>Santayana, George-Lachs, John.-Lachs, Shirley.</t>
  </si>
  <si>
    <t>The Philosophy of Loyalty</t>
  </si>
  <si>
    <t>SELF-HELP / Personal Growth / Happiness</t>
  </si>
  <si>
    <t>BJ1533.L8 R6 1995eb</t>
  </si>
  <si>
    <t>Loyalty.</t>
  </si>
  <si>
    <t>Royce, Josiah</t>
  </si>
  <si>
    <t>Mind and Philosophers</t>
  </si>
  <si>
    <t>B29 .L26 1987eb</t>
  </si>
  <si>
    <t>Mind and body.,Philosophy.</t>
  </si>
  <si>
    <t>Lachs, John.</t>
  </si>
  <si>
    <t>Wordsworth's Informed Reader</t>
  </si>
  <si>
    <t>Structures of Experience in His Poetry</t>
  </si>
  <si>
    <t>PR5892.R36 M4 1988eb</t>
  </si>
  <si>
    <t>Authors and readers--England.,Reader-response criticism.</t>
  </si>
  <si>
    <t>Meisenhelder, Susan Edwards</t>
  </si>
  <si>
    <t>The Homeric Narrator</t>
  </si>
  <si>
    <t>PA4037 .R5 1990eb</t>
  </si>
  <si>
    <t>Epic poetry, Greek--History and criticism.,Narration (Rhetoric),Point of view (Literature),Rhetoric, Ancient.</t>
  </si>
  <si>
    <t>Richardson, Scott Douglas.</t>
  </si>
  <si>
    <t>The Politics of the Universe</t>
  </si>
  <si>
    <t>Edward Beecher, Abolition, and Orthodoxy</t>
  </si>
  <si>
    <t>BX7260.B28 M4 1968eb</t>
  </si>
  <si>
    <t>Merideth, Robert.</t>
  </si>
  <si>
    <t>Apocalypse Undone</t>
  </si>
  <si>
    <t>My Survival of Japanese Imprisonment During World War II</t>
  </si>
  <si>
    <t>D811 .H747 1990eb</t>
  </si>
  <si>
    <t>Prisoners of war--Philippines--Biography.,Prisoners of war--United States--Biography.,World War, 1939-1945--Personal narratives, American.,World War, 1939-1945--Prisoners and prisons, Japanese.</t>
  </si>
  <si>
    <t>Hubbard, Preston John</t>
  </si>
  <si>
    <t>Something Like Horace</t>
  </si>
  <si>
    <t>Studies in the Art and Allusion of Pope's Horatian Satires</t>
  </si>
  <si>
    <t>PR3636 .A3eb</t>
  </si>
  <si>
    <t>Imitation in literature.,Verse satire, English--Roman influences.,Verse satire, Latin--Adaptations--History and criticism.</t>
  </si>
  <si>
    <t>Cardinal Newman in His Age</t>
  </si>
  <si>
    <t>His Place in English Theology and Literature</t>
  </si>
  <si>
    <t>BX4705.N5 W4 1973eb</t>
  </si>
  <si>
    <t>Weatherby, Harold L.</t>
  </si>
  <si>
    <t>Van Dorn</t>
  </si>
  <si>
    <t>The Life and Times of a Confederate General</t>
  </si>
  <si>
    <t>E467.1.V2 H378 1994</t>
  </si>
  <si>
    <t>Generals--Confederate States of America--Biography.</t>
  </si>
  <si>
    <t>Hartje, Robert George</t>
  </si>
  <si>
    <t>Democracy in the Old South</t>
  </si>
  <si>
    <t>And Other Essays.</t>
  </si>
  <si>
    <t>F209 .G73 1969eb</t>
  </si>
  <si>
    <t>Green, Fletcher Melvin-Copeland, J. Isaac</t>
  </si>
  <si>
    <t>Ramblin' Rose</t>
  </si>
  <si>
    <t>The Life and Career of Rose Maddox</t>
  </si>
  <si>
    <t>ML420.M13863 R36 1997eb</t>
  </si>
  <si>
    <t>Country musicians--Biography.</t>
  </si>
  <si>
    <t>Whiteside, Jonny.</t>
  </si>
  <si>
    <t>Surface Fitting and Multiresolution Methods</t>
  </si>
  <si>
    <t>QA403.3 .S87 1997eb</t>
  </si>
  <si>
    <t>Approximation theory--Congresses.,Curves--Computer simulation--Congresses.,Surfaces--Computer simulation--Congresses.,Wavelets (Mathematics)--Congresses.</t>
  </si>
  <si>
    <t>Le MÃ©hautÃ©, Alain.-Rabut, Christophe-Schumaker, Larry L.</t>
  </si>
  <si>
    <t>The Higher Realism of Woodrow Wilson, and Other Essays</t>
  </si>
  <si>
    <t>E767 .L64 1971eb</t>
  </si>
  <si>
    <t>Link, Arthur Stanley.</t>
  </si>
  <si>
    <t>Contested Social Orders and International Politics</t>
  </si>
  <si>
    <t>D445 .C735 1997eb</t>
  </si>
  <si>
    <t>International economic relations.,International relations.,World politics--20th century.</t>
  </si>
  <si>
    <t>Skidmore, David</t>
  </si>
  <si>
    <t>Comparative History of Slavic Literatures</t>
  </si>
  <si>
    <t>TRAVEL / Special Interest / Literary</t>
  </si>
  <si>
    <t>PG501 .C513eb</t>
  </si>
  <si>
    <t>Comparative literature.,Slavic literature--History and criticism.</t>
  </si>
  <si>
    <t>TschizÌŒewskij, Dmitrij</t>
  </si>
  <si>
    <t>Respiratory Distress Syndromes</t>
  </si>
  <si>
    <t>Molecules to Man</t>
  </si>
  <si>
    <t>RC776.R38 S96 1989eb</t>
  </si>
  <si>
    <t>Respiratory distress syndrome--Congresses.</t>
  </si>
  <si>
    <t>Brigham, Kenneth L.-Stahlman, Mildred T.-Vanderbilt University.</t>
  </si>
  <si>
    <t>PG3012 .C513 1974eb</t>
  </si>
  <si>
    <t>The Schwarzbein Principle</t>
  </si>
  <si>
    <t>The Truth About Losing Weight, Being Healthy and Feeling Younger</t>
  </si>
  <si>
    <t>HEALTH &amp; FITNESS / Diet &amp; Nutrition / Diets</t>
  </si>
  <si>
    <t>RM237.85 .S35 1999eb</t>
  </si>
  <si>
    <t>Health.,Nutrition.,Sugar-free diet.,Weight loss.</t>
  </si>
  <si>
    <t>Schwarzbein, Diana-Deville, Nancy.</t>
  </si>
  <si>
    <t>Gentle Reminders for Co-dependents</t>
  </si>
  <si>
    <t>Daily Affirmations</t>
  </si>
  <si>
    <t>BL624 .C436 1989eb</t>
  </si>
  <si>
    <t>Devotional calendars.,Meditations.</t>
  </si>
  <si>
    <t>Chandler, Mitzi.</t>
  </si>
  <si>
    <t>A Gift to Myself</t>
  </si>
  <si>
    <t>A Personal Workbook and Guide to "Healing the Child Within"</t>
  </si>
  <si>
    <t>RC569.5.C63</t>
  </si>
  <si>
    <t>Adult children of dysfunctional families--Rehabilitation.,Codependency--Treatment.,Self.</t>
  </si>
  <si>
    <t>The Flying Boy</t>
  </si>
  <si>
    <t>Healing the Wounded Man</t>
  </si>
  <si>
    <t>PSYCHOLOGY / Developmental / Adulthood &amp; Aging</t>
  </si>
  <si>
    <t>BF692.5 .L43 1989eb</t>
  </si>
  <si>
    <t>Interpersonal relations--Case studies.,Men--Psychology--Case studies.,Self-actualization (Psychology)--Case studies.</t>
  </si>
  <si>
    <t>Lee, John H.</t>
  </si>
  <si>
    <t>A Child Called It</t>
  </si>
  <si>
    <t>One Child's Courage to Survive</t>
  </si>
  <si>
    <t>SELF-HELP / General</t>
  </si>
  <si>
    <t>HV883.C2 P45 1995eb</t>
  </si>
  <si>
    <t>Abused children--California--Daly City--Biography.,Abusive mothers--Family relationships--California--Daly City.,Children of alcoholics--California--Daly City--Biography.,Family violence--California--Daly City.,Foster home care--California.</t>
  </si>
  <si>
    <t>Pelzer, David J.</t>
  </si>
  <si>
    <t>Healing the Child Within</t>
  </si>
  <si>
    <t>Discovery and Recovery for Adult Children of Dysfunctional Families (Recovery Classics Edition)</t>
  </si>
  <si>
    <t>RC569.5.C63 W47 1987eb</t>
  </si>
  <si>
    <t>Adult Children of Alcoholics</t>
  </si>
  <si>
    <t>HV5132 .W62 1990eb</t>
  </si>
  <si>
    <t>Adult children of alcoholics--United States.,Alcoholics--Family relationships--United States.,Alcoholism.</t>
  </si>
  <si>
    <t>Woititz, Janet Geringer.</t>
  </si>
  <si>
    <t>Bank of Scotland</t>
  </si>
  <si>
    <t>A History, 1695-1995</t>
  </si>
  <si>
    <t>BUSINESS &amp; ECONOMICS / Banks &amp; Banking</t>
  </si>
  <si>
    <t>HG2999.S4 S38 1996eb</t>
  </si>
  <si>
    <t>Banks and banking--Scotland--History.</t>
  </si>
  <si>
    <t>Saville, Richard.</t>
  </si>
  <si>
    <t>Quantifying Archaeology</t>
  </si>
  <si>
    <t>CC80.6 .S54 1997eb</t>
  </si>
  <si>
    <t>Archaeology--Statistical methods.</t>
  </si>
  <si>
    <t>Shennan, Stephen.</t>
  </si>
  <si>
    <t>Preparing for the Challenges of the 21st Century</t>
  </si>
  <si>
    <t>RA412.3 .M43 1998eb</t>
  </si>
  <si>
    <t>Medicare--Congresses.,Medicare--Forecasting--Congresses.</t>
  </si>
  <si>
    <t>Reischauer, Robert D.</t>
  </si>
  <si>
    <t>The Continuity of Peirce's Thought</t>
  </si>
  <si>
    <t>B945.P44 P37 1998eb</t>
  </si>
  <si>
    <t>Parker, Kelly A.</t>
  </si>
  <si>
    <t>Ruin and Restitution</t>
  </si>
  <si>
    <t>Reinterpreting Romanticism in Spain</t>
  </si>
  <si>
    <t>PQ6071 .S55 1997eb</t>
  </si>
  <si>
    <t>Romanticism--Spain.,Spanish literature--19th century--History and criticism.,Spanish poetry--19th century--History and criticism.,Spanish poetry--20th century--History and criticism.</t>
  </si>
  <si>
    <t>Silver, Philip W.</t>
  </si>
  <si>
    <t>Reversing Course</t>
  </si>
  <si>
    <t>Carter's Foreign Policy, Domestic Politics, and the Failure of Reform</t>
  </si>
  <si>
    <t>E872 .S556 1996eb</t>
  </si>
  <si>
    <t>Selected Passages From Correspondence with Friends</t>
  </si>
  <si>
    <t>PG3335.A4 Z4eb</t>
  </si>
  <si>
    <t>Authors, Russian--19th century--Correspondence.</t>
  </si>
  <si>
    <t>GogolÊ¹, NikolaiÌ† VasilÊ¹evich</t>
  </si>
  <si>
    <t>Gender and Nationalism in Colonial Cuba</t>
  </si>
  <si>
    <t>The Travels of Santa Cruz Y Montalvo, Condesa De Merlin</t>
  </si>
  <si>
    <t>HISTORY / Caribbean &amp; West Indies / Cuba</t>
  </si>
  <si>
    <t>F1799.H3 M4736 1998eb</t>
  </si>
  <si>
    <t>Feminist criticism.</t>
  </si>
  <si>
    <t>MeÌndez Rodenas, Adriana.</t>
  </si>
  <si>
    <t>David Duke and the Politics of Race in the South</t>
  </si>
  <si>
    <t>F376.3.D84 D38 1995eb</t>
  </si>
  <si>
    <t>Kuzenski, John C.-Bullock, Charles S.-Gaddie, Ronald Keith.</t>
  </si>
  <si>
    <t>Romantic Irony in French Literature From Diderot to Beckett</t>
  </si>
  <si>
    <t>PQ287 .B58 1989eb</t>
  </si>
  <si>
    <t>French literature--19th century--History and criticism.,French literature--History and criticism.,Irony in literature.,Romanticism--France.</t>
  </si>
  <si>
    <t>Bishop, Lloyd</t>
  </si>
  <si>
    <t>Genuine Individuals and Genuine Communities</t>
  </si>
  <si>
    <t>A Roycean Public Philosophy</t>
  </si>
  <si>
    <t>B945.R64 K44 1997eb</t>
  </si>
  <si>
    <t>Communities.,Individuation (Philosophy),Political science--Philosophy.</t>
  </si>
  <si>
    <t>Kegley, Jacquelyn Ann K.</t>
  </si>
  <si>
    <t>A Natural History of Peace</t>
  </si>
  <si>
    <t>JZ5548 .N38 1996eb online</t>
  </si>
  <si>
    <t>Peace--History.</t>
  </si>
  <si>
    <t>Gregor, Thomas.</t>
  </si>
  <si>
    <t>Gardens of Illusion</t>
  </si>
  <si>
    <t>The Genius of AndrÃ¢e Le Nostre</t>
  </si>
  <si>
    <t>GARDENING / Garden Design</t>
  </si>
  <si>
    <t>SB470.L4 H39 1980eb</t>
  </si>
  <si>
    <t>Gardens, French--History--17th century.,Gardens--France--Design--History--17th century.,Gardens--France--Pictorial works.,Landscape architects--France--Biography.</t>
  </si>
  <si>
    <t>Hazlehurst, F. Hamilton</t>
  </si>
  <si>
    <t>Who Succeeds in Science?</t>
  </si>
  <si>
    <t>The Gender Dimension</t>
  </si>
  <si>
    <t>Q130 .S66 1995eb</t>
  </si>
  <si>
    <t>Science--Study and teaching--Sex differences--United States.,Science--Vocational guidance--Sex differences--United States.,Women in science--United States.</t>
  </si>
  <si>
    <t>Sonnert, Gerhard-Holton, Gerald James.</t>
  </si>
  <si>
    <t>Race, Rights, and the Asian American Experience</t>
  </si>
  <si>
    <t>LAW / Public</t>
  </si>
  <si>
    <t>KF4757.A75 A53 1998eb</t>
  </si>
  <si>
    <t>Asian Americans--Civil rights--United States.,Asian Americans--Legal status, laws, etc.--United States.</t>
  </si>
  <si>
    <t>Ancheta, Angelo N.</t>
  </si>
  <si>
    <t>The Burdens of Disease</t>
  </si>
  <si>
    <t>Epidemics and Human Response in Western History</t>
  </si>
  <si>
    <t>RA649 .H29 1998eb</t>
  </si>
  <si>
    <t>Epidemics--History.</t>
  </si>
  <si>
    <t>Hays, J. N.</t>
  </si>
  <si>
    <t>A Miracle and a Privilege</t>
  </si>
  <si>
    <t>Recounting a Half Century of Surgical Advance</t>
  </si>
  <si>
    <t>RD27.35.M6496 A3 1995eb</t>
  </si>
  <si>
    <t>Surgeons--United States--Biography.</t>
  </si>
  <si>
    <t>Moore, Francis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</si>
</sst>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50"/>
  <sheetViews>
    <sheetView tabSelected="1" topLeftCell="A3521" workbookViewId="0"/>
  </sheetViews>
  <sheetFormatPr defaultRowHeight="15" x14ac:dyDescent="0.25"/>
  <cols>
    <col min="20" max="20" width="11" bestFit="1" customWidth="1"/>
  </cols>
  <sheetData>
    <row r="1" spans="1:20"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row>
    <row r="2" spans="1:20" x14ac:dyDescent="0.25">
      <c r="A2">
        <v>1949502</v>
      </c>
      <c r="B2" t="s">
        <v>20</v>
      </c>
      <c r="C2" t="s">
        <v>21</v>
      </c>
      <c r="D2" t="s">
        <v>22</v>
      </c>
      <c r="E2" t="s">
        <v>22</v>
      </c>
      <c r="F2">
        <v>2017</v>
      </c>
      <c r="G2" t="s">
        <v>23</v>
      </c>
      <c r="H2" t="s">
        <v>24</v>
      </c>
      <c r="I2" t="s">
        <v>25</v>
      </c>
      <c r="J2" t="s">
        <v>26</v>
      </c>
      <c r="K2" t="s">
        <v>27</v>
      </c>
      <c r="L2" t="b">
        <v>1</v>
      </c>
      <c r="M2" t="s">
        <v>28</v>
      </c>
      <c r="N2" t="str">
        <f>"100"</f>
        <v>100</v>
      </c>
      <c r="O2" t="s">
        <v>29</v>
      </c>
      <c r="P2" t="b">
        <v>0</v>
      </c>
      <c r="R2" t="str">
        <f>"9789462987401"</f>
        <v>9789462987401</v>
      </c>
      <c r="S2" t="str">
        <f>"9789048539055"</f>
        <v>9789048539055</v>
      </c>
      <c r="T2">
        <v>1030816444</v>
      </c>
    </row>
    <row r="3" spans="1:20" x14ac:dyDescent="0.25">
      <c r="A3">
        <v>1949498</v>
      </c>
      <c r="B3" t="s">
        <v>30</v>
      </c>
      <c r="D3" t="s">
        <v>22</v>
      </c>
      <c r="E3" t="s">
        <v>22</v>
      </c>
      <c r="F3">
        <v>2016</v>
      </c>
      <c r="G3" t="s">
        <v>31</v>
      </c>
      <c r="H3" t="s">
        <v>32</v>
      </c>
      <c r="I3" t="s">
        <v>33</v>
      </c>
      <c r="J3" t="s">
        <v>26</v>
      </c>
      <c r="K3" t="s">
        <v>27</v>
      </c>
      <c r="L3" t="b">
        <v>1</v>
      </c>
      <c r="M3" t="s">
        <v>34</v>
      </c>
      <c r="N3" t="str">
        <f>"777.01"</f>
        <v>777.01</v>
      </c>
      <c r="O3" t="s">
        <v>35</v>
      </c>
      <c r="P3" t="b">
        <v>0</v>
      </c>
      <c r="R3" t="str">
        <f>"9789462981904"</f>
        <v>9789462981904</v>
      </c>
      <c r="S3" t="str">
        <f>"9789048531691"</f>
        <v>9789048531691</v>
      </c>
      <c r="T3">
        <v>1030815778</v>
      </c>
    </row>
    <row r="4" spans="1:20" x14ac:dyDescent="0.25">
      <c r="A4">
        <v>1879466</v>
      </c>
      <c r="B4" t="s">
        <v>36</v>
      </c>
      <c r="D4" t="s">
        <v>22</v>
      </c>
      <c r="E4" t="s">
        <v>22</v>
      </c>
      <c r="F4">
        <v>2017</v>
      </c>
      <c r="G4" t="s">
        <v>37</v>
      </c>
      <c r="H4" t="s">
        <v>38</v>
      </c>
      <c r="I4" t="s">
        <v>39</v>
      </c>
      <c r="J4" t="s">
        <v>26</v>
      </c>
      <c r="K4" t="s">
        <v>27</v>
      </c>
      <c r="L4" t="b">
        <v>1</v>
      </c>
      <c r="M4" t="s">
        <v>40</v>
      </c>
      <c r="N4" t="str">
        <f>"820.9/005"</f>
        <v>820.9/005</v>
      </c>
      <c r="O4" t="s">
        <v>41</v>
      </c>
      <c r="P4" t="b">
        <v>1</v>
      </c>
      <c r="R4" t="str">
        <f>"9789089648747"</f>
        <v>9789089648747</v>
      </c>
      <c r="S4" t="str">
        <f>"9789048527380"</f>
        <v>9789048527380</v>
      </c>
      <c r="T4">
        <v>982228423</v>
      </c>
    </row>
    <row r="5" spans="1:20" x14ac:dyDescent="0.25">
      <c r="A5">
        <v>1857593</v>
      </c>
      <c r="B5" t="s">
        <v>42</v>
      </c>
      <c r="D5" t="s">
        <v>43</v>
      </c>
      <c r="E5" t="s">
        <v>44</v>
      </c>
      <c r="F5">
        <v>2017</v>
      </c>
      <c r="G5" t="s">
        <v>45</v>
      </c>
      <c r="H5" t="s">
        <v>46</v>
      </c>
      <c r="I5" t="s">
        <v>47</v>
      </c>
      <c r="J5" t="s">
        <v>26</v>
      </c>
      <c r="K5" t="s">
        <v>48</v>
      </c>
      <c r="L5" t="b">
        <v>1</v>
      </c>
      <c r="M5" t="s">
        <v>49</v>
      </c>
      <c r="N5" t="str">
        <f>"616.8046"</f>
        <v>616.8046</v>
      </c>
      <c r="O5" t="s">
        <v>50</v>
      </c>
      <c r="P5" t="b">
        <v>0</v>
      </c>
      <c r="R5" t="str">
        <f>"9781496360311"</f>
        <v>9781496360311</v>
      </c>
      <c r="S5" t="str">
        <f>"9781496360335"</f>
        <v>9781496360335</v>
      </c>
      <c r="T5">
        <v>1080637578</v>
      </c>
    </row>
    <row r="6" spans="1:20" x14ac:dyDescent="0.25">
      <c r="A6">
        <v>1857589</v>
      </c>
      <c r="B6" t="s">
        <v>51</v>
      </c>
      <c r="D6" t="s">
        <v>43</v>
      </c>
      <c r="E6" t="s">
        <v>44</v>
      </c>
      <c r="F6">
        <v>2017</v>
      </c>
      <c r="G6" t="s">
        <v>52</v>
      </c>
      <c r="H6" t="s">
        <v>53</v>
      </c>
      <c r="I6" t="s">
        <v>54</v>
      </c>
      <c r="J6" t="s">
        <v>26</v>
      </c>
      <c r="K6" t="s">
        <v>48</v>
      </c>
      <c r="L6" t="b">
        <v>1</v>
      </c>
      <c r="M6" t="s">
        <v>55</v>
      </c>
      <c r="N6" t="str">
        <f>"616.02/5"</f>
        <v>616.02/5</v>
      </c>
      <c r="P6" t="b">
        <v>0</v>
      </c>
      <c r="R6" t="str">
        <f>"9781496320742"</f>
        <v>9781496320742</v>
      </c>
      <c r="S6" t="str">
        <f>"9781496380319"</f>
        <v>9781496380319</v>
      </c>
      <c r="T6">
        <v>1046676893</v>
      </c>
    </row>
    <row r="7" spans="1:20" x14ac:dyDescent="0.25">
      <c r="A7">
        <v>1815508</v>
      </c>
      <c r="B7" t="s">
        <v>56</v>
      </c>
      <c r="D7" t="s">
        <v>22</v>
      </c>
      <c r="E7" t="s">
        <v>22</v>
      </c>
      <c r="F7">
        <v>2016</v>
      </c>
      <c r="G7" t="s">
        <v>57</v>
      </c>
      <c r="H7" t="s">
        <v>58</v>
      </c>
      <c r="I7" t="s">
        <v>59</v>
      </c>
      <c r="J7" t="s">
        <v>26</v>
      </c>
      <c r="K7" t="s">
        <v>27</v>
      </c>
      <c r="L7" t="b">
        <v>1</v>
      </c>
      <c r="M7" t="s">
        <v>60</v>
      </c>
      <c r="N7" t="str">
        <f>"306"</f>
        <v>306</v>
      </c>
      <c r="O7" t="s">
        <v>61</v>
      </c>
      <c r="P7" t="b">
        <v>0</v>
      </c>
      <c r="R7" t="str">
        <f>"9789089649669"</f>
        <v>9789089649669</v>
      </c>
      <c r="S7" t="str">
        <f>"9789048528707"</f>
        <v>9789048528707</v>
      </c>
      <c r="T7">
        <v>1038479612</v>
      </c>
    </row>
    <row r="8" spans="1:20" x14ac:dyDescent="0.25">
      <c r="A8">
        <v>1815503</v>
      </c>
      <c r="B8" t="s">
        <v>62</v>
      </c>
      <c r="D8" t="s">
        <v>22</v>
      </c>
      <c r="E8" t="s">
        <v>22</v>
      </c>
      <c r="F8">
        <v>2017</v>
      </c>
      <c r="G8" t="s">
        <v>63</v>
      </c>
      <c r="H8" t="s">
        <v>64</v>
      </c>
      <c r="I8" t="s">
        <v>65</v>
      </c>
      <c r="J8" t="s">
        <v>26</v>
      </c>
      <c r="K8" t="s">
        <v>27</v>
      </c>
      <c r="L8" t="b">
        <v>1</v>
      </c>
      <c r="M8" t="s">
        <v>66</v>
      </c>
      <c r="N8" t="str">
        <f>"791.430945"</f>
        <v>791.430945</v>
      </c>
      <c r="O8" t="s">
        <v>67</v>
      </c>
      <c r="P8" t="b">
        <v>0</v>
      </c>
      <c r="R8" t="str">
        <f>"9789089648556"</f>
        <v>9789089648556</v>
      </c>
      <c r="S8" t="str">
        <f>"9789048527106"</f>
        <v>9789048527106</v>
      </c>
      <c r="T8">
        <v>1030821311</v>
      </c>
    </row>
    <row r="9" spans="1:20" x14ac:dyDescent="0.25">
      <c r="A9">
        <v>1815162</v>
      </c>
      <c r="B9" t="s">
        <v>68</v>
      </c>
      <c r="C9" t="s">
        <v>69</v>
      </c>
      <c r="D9" t="s">
        <v>70</v>
      </c>
      <c r="E9" t="s">
        <v>71</v>
      </c>
      <c r="F9">
        <v>2014</v>
      </c>
      <c r="G9" t="s">
        <v>72</v>
      </c>
      <c r="H9" t="s">
        <v>73</v>
      </c>
      <c r="I9" t="s">
        <v>74</v>
      </c>
      <c r="J9" t="s">
        <v>26</v>
      </c>
      <c r="K9" t="s">
        <v>27</v>
      </c>
      <c r="L9" t="b">
        <v>1</v>
      </c>
      <c r="M9" t="s">
        <v>75</v>
      </c>
      <c r="N9" t="str">
        <f>"791.430973"</f>
        <v>791.430973</v>
      </c>
      <c r="P9" t="b">
        <v>0</v>
      </c>
      <c r="R9" t="str">
        <f>"9781844576517"</f>
        <v>9781844576517</v>
      </c>
      <c r="S9" t="str">
        <f>"9781844578436"</f>
        <v>9781844578436</v>
      </c>
      <c r="T9">
        <v>1001364384</v>
      </c>
    </row>
    <row r="10" spans="1:20" x14ac:dyDescent="0.25">
      <c r="A10">
        <v>1815152</v>
      </c>
      <c r="B10" t="s">
        <v>76</v>
      </c>
      <c r="D10" t="s">
        <v>70</v>
      </c>
      <c r="E10" t="s">
        <v>71</v>
      </c>
      <c r="F10">
        <v>2009</v>
      </c>
      <c r="G10" t="s">
        <v>72</v>
      </c>
      <c r="H10" t="s">
        <v>77</v>
      </c>
      <c r="J10" t="s">
        <v>26</v>
      </c>
      <c r="K10" t="s">
        <v>27</v>
      </c>
      <c r="L10" t="b">
        <v>1</v>
      </c>
      <c r="M10" t="s">
        <v>78</v>
      </c>
      <c r="N10" t="str">
        <f>"791.4372"</f>
        <v>791.4372</v>
      </c>
      <c r="O10" t="s">
        <v>79</v>
      </c>
      <c r="P10" t="b">
        <v>0</v>
      </c>
      <c r="R10" t="str">
        <f>"9781844572663"</f>
        <v>9781844572663</v>
      </c>
      <c r="S10" t="str">
        <f>"9781844575527"</f>
        <v>9781844575527</v>
      </c>
      <c r="T10">
        <v>991529871</v>
      </c>
    </row>
    <row r="11" spans="1:20" x14ac:dyDescent="0.25">
      <c r="A11">
        <v>1790502</v>
      </c>
      <c r="B11" t="s">
        <v>80</v>
      </c>
      <c r="C11" t="s">
        <v>81</v>
      </c>
      <c r="D11" t="s">
        <v>82</v>
      </c>
      <c r="E11" t="s">
        <v>82</v>
      </c>
      <c r="F11">
        <v>2007</v>
      </c>
      <c r="G11" t="s">
        <v>83</v>
      </c>
      <c r="H11" t="s">
        <v>84</v>
      </c>
      <c r="I11" t="s">
        <v>85</v>
      </c>
      <c r="J11" t="s">
        <v>26</v>
      </c>
      <c r="K11" t="s">
        <v>86</v>
      </c>
      <c r="L11" t="b">
        <v>1</v>
      </c>
      <c r="M11" t="s">
        <v>87</v>
      </c>
      <c r="N11" t="str">
        <f>"111"</f>
        <v>111</v>
      </c>
      <c r="O11" t="s">
        <v>88</v>
      </c>
      <c r="P11" t="b">
        <v>0</v>
      </c>
      <c r="R11" t="str">
        <f>"9780776606637"</f>
        <v>9780776606637</v>
      </c>
      <c r="S11" t="str">
        <f>"9780776617640"</f>
        <v>9780776617640</v>
      </c>
      <c r="T11">
        <v>572816613</v>
      </c>
    </row>
    <row r="12" spans="1:20" x14ac:dyDescent="0.25">
      <c r="A12">
        <v>1780809</v>
      </c>
      <c r="B12" t="s">
        <v>89</v>
      </c>
      <c r="C12" t="s">
        <v>90</v>
      </c>
      <c r="D12" t="s">
        <v>91</v>
      </c>
      <c r="E12" t="s">
        <v>92</v>
      </c>
      <c r="F12">
        <v>2017</v>
      </c>
      <c r="G12" t="s">
        <v>93</v>
      </c>
      <c r="H12" t="s">
        <v>94</v>
      </c>
      <c r="I12" t="s">
        <v>95</v>
      </c>
      <c r="J12" t="s">
        <v>26</v>
      </c>
      <c r="K12" t="s">
        <v>86</v>
      </c>
      <c r="L12" t="b">
        <v>1</v>
      </c>
      <c r="M12" t="s">
        <v>96</v>
      </c>
      <c r="N12" t="str">
        <f>"617.5/6059"</f>
        <v>617.5/6059</v>
      </c>
      <c r="P12" t="b">
        <v>0</v>
      </c>
      <c r="R12" t="str">
        <f>"9783132016316"</f>
        <v>9783132016316</v>
      </c>
      <c r="S12" t="str">
        <f>"9783132016415"</f>
        <v>9783132016415</v>
      </c>
      <c r="T12">
        <v>983786651</v>
      </c>
    </row>
    <row r="13" spans="1:20" x14ac:dyDescent="0.25">
      <c r="A13">
        <v>1743305</v>
      </c>
      <c r="B13" t="s">
        <v>97</v>
      </c>
      <c r="D13" t="s">
        <v>98</v>
      </c>
      <c r="E13" t="s">
        <v>99</v>
      </c>
      <c r="F13">
        <v>2001</v>
      </c>
      <c r="G13" t="s">
        <v>100</v>
      </c>
      <c r="H13" t="s">
        <v>101</v>
      </c>
      <c r="I13" t="s">
        <v>102</v>
      </c>
      <c r="J13" t="s">
        <v>26</v>
      </c>
      <c r="K13" t="s">
        <v>27</v>
      </c>
      <c r="L13" t="b">
        <v>1</v>
      </c>
      <c r="M13" t="s">
        <v>103</v>
      </c>
      <c r="N13" t="str">
        <f>"415"</f>
        <v>415</v>
      </c>
      <c r="O13" t="s">
        <v>104</v>
      </c>
      <c r="P13" t="b">
        <v>0</v>
      </c>
      <c r="R13" t="str">
        <f>"9780198235606"</f>
        <v>9780198235606</v>
      </c>
      <c r="S13" t="str">
        <f>"9780191592911"</f>
        <v>9780191592911</v>
      </c>
      <c r="T13">
        <v>1030041054</v>
      </c>
    </row>
    <row r="14" spans="1:20" x14ac:dyDescent="0.25">
      <c r="A14">
        <v>1716515</v>
      </c>
      <c r="B14" t="s">
        <v>105</v>
      </c>
      <c r="C14" t="s">
        <v>106</v>
      </c>
      <c r="D14" t="s">
        <v>107</v>
      </c>
      <c r="E14" t="s">
        <v>108</v>
      </c>
      <c r="F14">
        <v>2014</v>
      </c>
      <c r="G14" t="s">
        <v>109</v>
      </c>
      <c r="H14" t="s">
        <v>110</v>
      </c>
      <c r="I14" t="s">
        <v>111</v>
      </c>
      <c r="J14" t="s">
        <v>26</v>
      </c>
      <c r="K14" t="s">
        <v>48</v>
      </c>
      <c r="L14" t="b">
        <v>1</v>
      </c>
      <c r="M14" t="s">
        <v>112</v>
      </c>
      <c r="N14" t="str">
        <f>"554"</f>
        <v>554</v>
      </c>
      <c r="P14" t="b">
        <v>0</v>
      </c>
      <c r="Q14" t="b">
        <v>0</v>
      </c>
      <c r="S14" t="str">
        <f>"9781780465173"</f>
        <v>9781780465173</v>
      </c>
      <c r="T14">
        <v>891382492</v>
      </c>
    </row>
    <row r="15" spans="1:20" x14ac:dyDescent="0.25">
      <c r="A15">
        <v>1710987</v>
      </c>
      <c r="B15" t="s">
        <v>113</v>
      </c>
      <c r="C15" t="s">
        <v>114</v>
      </c>
      <c r="D15" t="s">
        <v>115</v>
      </c>
      <c r="E15" t="s">
        <v>116</v>
      </c>
      <c r="F15">
        <v>2009</v>
      </c>
      <c r="G15" t="s">
        <v>117</v>
      </c>
      <c r="H15" t="s">
        <v>118</v>
      </c>
      <c r="I15" t="s">
        <v>119</v>
      </c>
      <c r="J15" t="s">
        <v>26</v>
      </c>
      <c r="K15" t="s">
        <v>48</v>
      </c>
      <c r="L15" t="b">
        <v>1</v>
      </c>
      <c r="M15" t="s">
        <v>120</v>
      </c>
      <c r="N15" t="str">
        <f>"333.794"</f>
        <v>333.794</v>
      </c>
      <c r="O15" t="s">
        <v>121</v>
      </c>
      <c r="P15" t="b">
        <v>0</v>
      </c>
      <c r="R15" t="str">
        <f>"9783899587982"</f>
        <v>9783899587982</v>
      </c>
      <c r="S15" t="str">
        <f>"9783899587999"</f>
        <v>9783899587999</v>
      </c>
      <c r="T15">
        <v>759160400</v>
      </c>
    </row>
    <row r="16" spans="1:20" x14ac:dyDescent="0.25">
      <c r="A16">
        <v>1707561</v>
      </c>
      <c r="B16" t="s">
        <v>122</v>
      </c>
      <c r="D16" t="s">
        <v>123</v>
      </c>
      <c r="E16" t="s">
        <v>124</v>
      </c>
      <c r="F16">
        <v>2016</v>
      </c>
      <c r="G16" t="s">
        <v>125</v>
      </c>
      <c r="H16" t="s">
        <v>126</v>
      </c>
      <c r="I16" t="s">
        <v>127</v>
      </c>
      <c r="J16" t="s">
        <v>26</v>
      </c>
      <c r="K16" t="s">
        <v>48</v>
      </c>
      <c r="L16" t="b">
        <v>1</v>
      </c>
      <c r="M16" t="s">
        <v>128</v>
      </c>
      <c r="N16" t="str">
        <f>"940.3/14"</f>
        <v>940.3/14</v>
      </c>
      <c r="P16" t="b">
        <v>0</v>
      </c>
      <c r="R16" t="str">
        <f>"9781510714397"</f>
        <v>9781510714397</v>
      </c>
      <c r="S16" t="str">
        <f>"9781510714403"</f>
        <v>9781510714403</v>
      </c>
      <c r="T16">
        <v>959884454</v>
      </c>
    </row>
    <row r="17" spans="1:20" x14ac:dyDescent="0.25">
      <c r="A17">
        <v>1701745</v>
      </c>
      <c r="B17" t="s">
        <v>129</v>
      </c>
      <c r="C17" t="s">
        <v>130</v>
      </c>
      <c r="D17" t="s">
        <v>131</v>
      </c>
      <c r="E17" t="s">
        <v>132</v>
      </c>
      <c r="F17">
        <v>2015</v>
      </c>
      <c r="G17" t="s">
        <v>133</v>
      </c>
      <c r="H17" t="s">
        <v>134</v>
      </c>
      <c r="I17" t="s">
        <v>135</v>
      </c>
      <c r="J17" t="s">
        <v>26</v>
      </c>
      <c r="K17" t="s">
        <v>48</v>
      </c>
      <c r="L17" t="b">
        <v>1</v>
      </c>
      <c r="M17" t="s">
        <v>136</v>
      </c>
      <c r="N17" t="str">
        <f>"792.01"</f>
        <v>792.01</v>
      </c>
      <c r="P17" t="b">
        <v>1</v>
      </c>
      <c r="R17" t="str">
        <f>"9780889225404"</f>
        <v>9780889225404</v>
      </c>
      <c r="S17" t="str">
        <f>"9780889229938"</f>
        <v>9780889229938</v>
      </c>
      <c r="T17">
        <v>946160019</v>
      </c>
    </row>
    <row r="18" spans="1:20" x14ac:dyDescent="0.25">
      <c r="A18">
        <v>1701493</v>
      </c>
      <c r="B18" t="s">
        <v>137</v>
      </c>
      <c r="D18" t="s">
        <v>22</v>
      </c>
      <c r="E18" t="s">
        <v>22</v>
      </c>
      <c r="F18">
        <v>2017</v>
      </c>
      <c r="G18" t="s">
        <v>57</v>
      </c>
      <c r="H18" t="s">
        <v>138</v>
      </c>
      <c r="I18" t="s">
        <v>139</v>
      </c>
      <c r="J18" t="s">
        <v>26</v>
      </c>
      <c r="K18" t="s">
        <v>27</v>
      </c>
      <c r="L18" t="b">
        <v>1</v>
      </c>
      <c r="M18" t="s">
        <v>140</v>
      </c>
      <c r="N18" t="str">
        <f>"791"</f>
        <v>791</v>
      </c>
      <c r="O18" t="s">
        <v>141</v>
      </c>
      <c r="P18" t="b">
        <v>0</v>
      </c>
      <c r="R18" t="str">
        <f>"9789462986213"</f>
        <v>9789462986213</v>
      </c>
      <c r="S18" t="str">
        <f>"9789048537433"</f>
        <v>9789048537433</v>
      </c>
      <c r="T18">
        <v>1007715033</v>
      </c>
    </row>
    <row r="19" spans="1:20" x14ac:dyDescent="0.25">
      <c r="A19">
        <v>1690669</v>
      </c>
      <c r="B19" t="s">
        <v>142</v>
      </c>
      <c r="D19" t="s">
        <v>43</v>
      </c>
      <c r="E19" t="s">
        <v>44</v>
      </c>
      <c r="F19">
        <v>2017</v>
      </c>
      <c r="G19" t="s">
        <v>143</v>
      </c>
      <c r="H19" t="s">
        <v>144</v>
      </c>
      <c r="I19" t="s">
        <v>145</v>
      </c>
      <c r="J19" t="s">
        <v>26</v>
      </c>
      <c r="K19" t="s">
        <v>48</v>
      </c>
      <c r="L19" t="b">
        <v>1</v>
      </c>
      <c r="M19" t="s">
        <v>146</v>
      </c>
      <c r="N19" t="str">
        <f>"617.542"</f>
        <v>617.542</v>
      </c>
      <c r="O19" t="s">
        <v>147</v>
      </c>
      <c r="P19" t="b">
        <v>0</v>
      </c>
      <c r="R19" t="str">
        <f>"9781451195279"</f>
        <v>9781451195279</v>
      </c>
      <c r="S19" t="str">
        <f>"9781496360144"</f>
        <v>9781496360144</v>
      </c>
      <c r="T19">
        <v>1020617452</v>
      </c>
    </row>
    <row r="20" spans="1:20" x14ac:dyDescent="0.25">
      <c r="A20">
        <v>1690663</v>
      </c>
      <c r="B20" t="s">
        <v>148</v>
      </c>
      <c r="D20" t="s">
        <v>43</v>
      </c>
      <c r="E20" t="s">
        <v>44</v>
      </c>
      <c r="F20">
        <v>2017</v>
      </c>
      <c r="G20" t="s">
        <v>149</v>
      </c>
      <c r="H20" t="s">
        <v>150</v>
      </c>
      <c r="I20" t="s">
        <v>151</v>
      </c>
      <c r="J20" t="s">
        <v>26</v>
      </c>
      <c r="K20" t="s">
        <v>48</v>
      </c>
      <c r="L20" t="b">
        <v>1</v>
      </c>
      <c r="M20" t="s">
        <v>152</v>
      </c>
      <c r="N20" t="str">
        <f>"616.1/207547"</f>
        <v>616.1/207547</v>
      </c>
      <c r="O20" t="s">
        <v>153</v>
      </c>
      <c r="P20" t="b">
        <v>0</v>
      </c>
      <c r="R20" t="str">
        <f>"9781496352163"</f>
        <v>9781496352163</v>
      </c>
      <c r="S20" t="str">
        <f>"9781496352170"</f>
        <v>9781496352170</v>
      </c>
      <c r="T20">
        <v>1026407409</v>
      </c>
    </row>
    <row r="21" spans="1:20" x14ac:dyDescent="0.25">
      <c r="A21">
        <v>1690659</v>
      </c>
      <c r="B21" t="s">
        <v>154</v>
      </c>
      <c r="D21" t="s">
        <v>43</v>
      </c>
      <c r="E21" t="s">
        <v>44</v>
      </c>
      <c r="F21">
        <v>2017</v>
      </c>
      <c r="G21" t="s">
        <v>155</v>
      </c>
      <c r="H21" t="s">
        <v>156</v>
      </c>
      <c r="I21" t="s">
        <v>157</v>
      </c>
      <c r="J21" t="s">
        <v>26</v>
      </c>
      <c r="K21" t="s">
        <v>48</v>
      </c>
      <c r="L21" t="b">
        <v>1</v>
      </c>
      <c r="M21" t="s">
        <v>158</v>
      </c>
      <c r="N21" t="str">
        <f>"618.92/.01"</f>
        <v>618.92/.01</v>
      </c>
      <c r="O21" t="s">
        <v>159</v>
      </c>
      <c r="P21" t="b">
        <v>0</v>
      </c>
      <c r="R21" t="str">
        <f>"9781496343611"</f>
        <v>9781496343611</v>
      </c>
      <c r="S21" t="str">
        <f>"9781496367495"</f>
        <v>9781496367495</v>
      </c>
      <c r="T21">
        <v>963184503</v>
      </c>
    </row>
    <row r="22" spans="1:20" x14ac:dyDescent="0.25">
      <c r="A22">
        <v>1690657</v>
      </c>
      <c r="B22" t="s">
        <v>160</v>
      </c>
      <c r="D22" t="s">
        <v>43</v>
      </c>
      <c r="E22" t="s">
        <v>44</v>
      </c>
      <c r="F22">
        <v>2017</v>
      </c>
      <c r="G22" t="s">
        <v>161</v>
      </c>
      <c r="H22" t="s">
        <v>162</v>
      </c>
      <c r="I22" t="s">
        <v>163</v>
      </c>
      <c r="J22" t="s">
        <v>26</v>
      </c>
      <c r="K22" t="s">
        <v>48</v>
      </c>
      <c r="L22" t="b">
        <v>1</v>
      </c>
      <c r="M22" t="s">
        <v>164</v>
      </c>
      <c r="N22" t="str">
        <f>"617.4/61059"</f>
        <v>617.4/61059</v>
      </c>
      <c r="P22" t="b">
        <v>0</v>
      </c>
      <c r="R22" t="str">
        <f>"9781496318206"</f>
        <v>9781496318206</v>
      </c>
      <c r="S22" t="str">
        <f>"9781496348494"</f>
        <v>9781496348494</v>
      </c>
      <c r="T22">
        <v>961904138</v>
      </c>
    </row>
    <row r="23" spans="1:20" x14ac:dyDescent="0.25">
      <c r="A23">
        <v>1690651</v>
      </c>
      <c r="B23" t="s">
        <v>165</v>
      </c>
      <c r="D23" t="s">
        <v>43</v>
      </c>
      <c r="E23" t="s">
        <v>44</v>
      </c>
      <c r="F23">
        <v>2017</v>
      </c>
      <c r="G23" t="s">
        <v>166</v>
      </c>
      <c r="H23" t="s">
        <v>167</v>
      </c>
      <c r="I23" t="s">
        <v>168</v>
      </c>
      <c r="J23" t="s">
        <v>26</v>
      </c>
      <c r="K23" t="s">
        <v>48</v>
      </c>
      <c r="L23" t="b">
        <v>1</v>
      </c>
      <c r="M23" t="s">
        <v>169</v>
      </c>
      <c r="N23" t="str">
        <f>"617.9/6"</f>
        <v>617.9/6</v>
      </c>
      <c r="O23" t="s">
        <v>170</v>
      </c>
      <c r="P23" t="b">
        <v>0</v>
      </c>
      <c r="R23" t="str">
        <f>"9781496328557"</f>
        <v>9781496328557</v>
      </c>
      <c r="S23" t="str">
        <f>"9781496328571"</f>
        <v>9781496328571</v>
      </c>
      <c r="T23">
        <v>964321220</v>
      </c>
    </row>
    <row r="24" spans="1:20" x14ac:dyDescent="0.25">
      <c r="A24">
        <v>1685490</v>
      </c>
      <c r="B24" t="s">
        <v>171</v>
      </c>
      <c r="D24" t="s">
        <v>22</v>
      </c>
      <c r="E24" t="s">
        <v>22</v>
      </c>
      <c r="F24">
        <v>2017</v>
      </c>
      <c r="G24" t="s">
        <v>172</v>
      </c>
      <c r="H24" t="s">
        <v>173</v>
      </c>
      <c r="I24" t="s">
        <v>174</v>
      </c>
      <c r="J24" t="s">
        <v>26</v>
      </c>
      <c r="K24" t="s">
        <v>27</v>
      </c>
      <c r="L24" t="b">
        <v>1</v>
      </c>
      <c r="M24" t="s">
        <v>175</v>
      </c>
      <c r="N24" t="str">
        <f>"658.1/1"</f>
        <v>658.1/1</v>
      </c>
      <c r="P24" t="b">
        <v>0</v>
      </c>
      <c r="R24" t="str">
        <f>"9789462987166"</f>
        <v>9789462987166</v>
      </c>
      <c r="S24" t="str">
        <f>"9789048538683"</f>
        <v>9789048538683</v>
      </c>
      <c r="T24">
        <v>1019900996</v>
      </c>
    </row>
    <row r="25" spans="1:20" x14ac:dyDescent="0.25">
      <c r="A25">
        <v>1683212</v>
      </c>
      <c r="B25" t="s">
        <v>176</v>
      </c>
      <c r="D25" t="s">
        <v>22</v>
      </c>
      <c r="E25" t="s">
        <v>22</v>
      </c>
      <c r="F25">
        <v>2017</v>
      </c>
      <c r="G25" t="s">
        <v>177</v>
      </c>
      <c r="H25" t="s">
        <v>178</v>
      </c>
      <c r="I25" t="s">
        <v>179</v>
      </c>
      <c r="J25" t="s">
        <v>26</v>
      </c>
      <c r="K25" t="s">
        <v>27</v>
      </c>
      <c r="L25" t="b">
        <v>1</v>
      </c>
      <c r="M25" t="s">
        <v>180</v>
      </c>
      <c r="N25" t="str">
        <f>"950"</f>
        <v>950</v>
      </c>
      <c r="P25" t="b">
        <v>0</v>
      </c>
      <c r="R25" t="str">
        <f>"9789462984035"</f>
        <v>9789462984035</v>
      </c>
      <c r="S25" t="str">
        <f>"9789048534555"</f>
        <v>9789048534555</v>
      </c>
      <c r="T25">
        <v>1019679051</v>
      </c>
    </row>
    <row r="26" spans="1:20" x14ac:dyDescent="0.25">
      <c r="A26">
        <v>1683210</v>
      </c>
      <c r="B26" t="s">
        <v>181</v>
      </c>
      <c r="D26" t="s">
        <v>22</v>
      </c>
      <c r="E26" t="s">
        <v>22</v>
      </c>
      <c r="F26">
        <v>2017</v>
      </c>
      <c r="G26" t="s">
        <v>182</v>
      </c>
      <c r="H26" t="s">
        <v>183</v>
      </c>
      <c r="I26" t="s">
        <v>184</v>
      </c>
      <c r="J26" t="s">
        <v>26</v>
      </c>
      <c r="K26" t="s">
        <v>27</v>
      </c>
      <c r="L26" t="b">
        <v>1</v>
      </c>
      <c r="M26" t="s">
        <v>185</v>
      </c>
      <c r="N26" t="str">
        <f>"320.1"</f>
        <v>320.1</v>
      </c>
      <c r="O26" t="s">
        <v>186</v>
      </c>
      <c r="P26" t="b">
        <v>0</v>
      </c>
      <c r="R26" t="str">
        <f>"9789462983335"</f>
        <v>9789462983335</v>
      </c>
      <c r="S26" t="str">
        <f>"9789048533305"</f>
        <v>9789048533305</v>
      </c>
      <c r="T26">
        <v>1019887209</v>
      </c>
    </row>
    <row r="27" spans="1:20" x14ac:dyDescent="0.25">
      <c r="A27">
        <v>1682518</v>
      </c>
      <c r="B27" t="s">
        <v>187</v>
      </c>
      <c r="D27" t="s">
        <v>22</v>
      </c>
      <c r="E27" t="s">
        <v>22</v>
      </c>
      <c r="F27">
        <v>2017</v>
      </c>
      <c r="G27" t="s">
        <v>57</v>
      </c>
      <c r="H27" t="s">
        <v>188</v>
      </c>
      <c r="I27" t="s">
        <v>189</v>
      </c>
      <c r="J27" t="s">
        <v>26</v>
      </c>
      <c r="K27" t="s">
        <v>27</v>
      </c>
      <c r="L27" t="b">
        <v>1</v>
      </c>
      <c r="M27" t="s">
        <v>190</v>
      </c>
      <c r="N27" t="str">
        <f>"303.48/4"</f>
        <v>303.48/4</v>
      </c>
      <c r="O27" t="s">
        <v>191</v>
      </c>
      <c r="P27" t="b">
        <v>0</v>
      </c>
      <c r="R27" t="str">
        <f>"9789462981690"</f>
        <v>9789462981690</v>
      </c>
      <c r="S27" t="str">
        <f>"9789048531356"</f>
        <v>9789048531356</v>
      </c>
      <c r="T27">
        <v>1018944972</v>
      </c>
    </row>
    <row r="28" spans="1:20" x14ac:dyDescent="0.25">
      <c r="A28">
        <v>1682516</v>
      </c>
      <c r="B28" t="s">
        <v>192</v>
      </c>
      <c r="D28" t="s">
        <v>22</v>
      </c>
      <c r="E28" t="s">
        <v>22</v>
      </c>
      <c r="F28">
        <v>2017</v>
      </c>
      <c r="G28" t="s">
        <v>31</v>
      </c>
      <c r="H28" t="s">
        <v>193</v>
      </c>
      <c r="I28" t="s">
        <v>194</v>
      </c>
      <c r="J28" t="s">
        <v>26</v>
      </c>
      <c r="K28" t="s">
        <v>27</v>
      </c>
      <c r="L28" t="b">
        <v>1</v>
      </c>
      <c r="M28" t="s">
        <v>195</v>
      </c>
      <c r="N28" t="str">
        <f>"791.4301"</f>
        <v>791.4301</v>
      </c>
      <c r="O28" t="s">
        <v>67</v>
      </c>
      <c r="P28" t="b">
        <v>1</v>
      </c>
      <c r="R28" t="str">
        <f>"9789089648259"</f>
        <v>9789089648259</v>
      </c>
      <c r="S28" t="str">
        <f>"9789048526734"</f>
        <v>9789048526734</v>
      </c>
      <c r="T28">
        <v>1018944950</v>
      </c>
    </row>
    <row r="29" spans="1:20" x14ac:dyDescent="0.25">
      <c r="A29">
        <v>1682514</v>
      </c>
      <c r="B29" t="s">
        <v>196</v>
      </c>
      <c r="D29" t="s">
        <v>22</v>
      </c>
      <c r="E29" t="s">
        <v>22</v>
      </c>
      <c r="F29">
        <v>2017</v>
      </c>
      <c r="G29" t="s">
        <v>197</v>
      </c>
      <c r="H29" t="s">
        <v>198</v>
      </c>
      <c r="I29" t="s">
        <v>199</v>
      </c>
      <c r="J29" t="s">
        <v>26</v>
      </c>
      <c r="K29" t="s">
        <v>27</v>
      </c>
      <c r="L29" t="b">
        <v>1</v>
      </c>
      <c r="M29" t="s">
        <v>200</v>
      </c>
      <c r="N29" t="str">
        <f>"821.7"</f>
        <v>821.7</v>
      </c>
      <c r="O29" t="s">
        <v>201</v>
      </c>
      <c r="P29" t="b">
        <v>0</v>
      </c>
      <c r="R29" t="str">
        <f>"9789089649447"</f>
        <v>9789089649447</v>
      </c>
      <c r="S29" t="str">
        <f>"9789048528387"</f>
        <v>9789048528387</v>
      </c>
      <c r="T29">
        <v>1018944981</v>
      </c>
    </row>
    <row r="30" spans="1:20" x14ac:dyDescent="0.25">
      <c r="A30">
        <v>1678631</v>
      </c>
      <c r="B30" t="s">
        <v>202</v>
      </c>
      <c r="D30" t="s">
        <v>203</v>
      </c>
      <c r="E30" t="s">
        <v>204</v>
      </c>
      <c r="F30">
        <v>2017</v>
      </c>
      <c r="G30" t="s">
        <v>205</v>
      </c>
      <c r="H30" t="s">
        <v>206</v>
      </c>
      <c r="I30" t="s">
        <v>207</v>
      </c>
      <c r="J30" t="s">
        <v>26</v>
      </c>
      <c r="K30" t="s">
        <v>48</v>
      </c>
      <c r="L30" t="b">
        <v>1</v>
      </c>
      <c r="M30" t="s">
        <v>208</v>
      </c>
      <c r="N30" t="str">
        <f>"781.1/1"</f>
        <v>781.1/1</v>
      </c>
      <c r="P30" t="b">
        <v>0</v>
      </c>
      <c r="R30" t="str">
        <f>"9781785583520"</f>
        <v>9781785583520</v>
      </c>
      <c r="S30" t="str">
        <f>"9781783238583"</f>
        <v>9781783238583</v>
      </c>
      <c r="T30">
        <v>1011236870</v>
      </c>
    </row>
    <row r="31" spans="1:20" x14ac:dyDescent="0.25">
      <c r="A31">
        <v>1667344</v>
      </c>
      <c r="B31" t="s">
        <v>209</v>
      </c>
      <c r="C31" t="s">
        <v>210</v>
      </c>
      <c r="D31" t="s">
        <v>211</v>
      </c>
      <c r="E31" t="s">
        <v>212</v>
      </c>
      <c r="F31">
        <v>2017</v>
      </c>
      <c r="G31" t="s">
        <v>213</v>
      </c>
      <c r="H31" t="s">
        <v>214</v>
      </c>
      <c r="I31" t="s">
        <v>215</v>
      </c>
      <c r="J31" t="s">
        <v>26</v>
      </c>
      <c r="K31" t="s">
        <v>27</v>
      </c>
      <c r="L31" t="b">
        <v>1</v>
      </c>
      <c r="M31" t="s">
        <v>216</v>
      </c>
      <c r="N31" t="str">
        <f>"070.50994"</f>
        <v>070.50994</v>
      </c>
      <c r="P31" t="b">
        <v>0</v>
      </c>
      <c r="Q31" t="b">
        <v>0</v>
      </c>
      <c r="S31" t="str">
        <f>"9781925523256"</f>
        <v>9781925523256</v>
      </c>
      <c r="T31">
        <v>1021883029</v>
      </c>
    </row>
    <row r="32" spans="1:20" x14ac:dyDescent="0.25">
      <c r="A32">
        <v>1664788</v>
      </c>
      <c r="B32" t="s">
        <v>217</v>
      </c>
      <c r="C32" t="s">
        <v>218</v>
      </c>
      <c r="D32" t="s">
        <v>123</v>
      </c>
      <c r="E32" t="s">
        <v>219</v>
      </c>
      <c r="F32">
        <v>2017</v>
      </c>
      <c r="G32" t="s">
        <v>220</v>
      </c>
      <c r="H32" t="s">
        <v>221</v>
      </c>
      <c r="I32" t="s">
        <v>222</v>
      </c>
      <c r="J32" t="s">
        <v>26</v>
      </c>
      <c r="K32" t="s">
        <v>48</v>
      </c>
      <c r="L32" t="b">
        <v>1</v>
      </c>
      <c r="M32" t="s">
        <v>223</v>
      </c>
      <c r="N32" t="str">
        <f>"294.3/823"</f>
        <v>294.3/823</v>
      </c>
      <c r="O32" t="s">
        <v>217</v>
      </c>
      <c r="P32" t="b">
        <v>0</v>
      </c>
      <c r="Q32" t="b">
        <v>0</v>
      </c>
      <c r="R32" t="str">
        <f>"9781614294702"</f>
        <v>9781614294702</v>
      </c>
      <c r="S32" t="str">
        <f>"9781614294900"</f>
        <v>9781614294900</v>
      </c>
      <c r="T32">
        <v>1059521081</v>
      </c>
    </row>
    <row r="33" spans="1:20" x14ac:dyDescent="0.25">
      <c r="A33">
        <v>1663952</v>
      </c>
      <c r="B33" t="s">
        <v>224</v>
      </c>
      <c r="C33" t="s">
        <v>225</v>
      </c>
      <c r="D33" t="s">
        <v>226</v>
      </c>
      <c r="E33" t="s">
        <v>226</v>
      </c>
      <c r="F33">
        <v>1990</v>
      </c>
      <c r="G33" t="s">
        <v>23</v>
      </c>
      <c r="H33" t="s">
        <v>227</v>
      </c>
      <c r="I33" t="s">
        <v>228</v>
      </c>
      <c r="J33" t="s">
        <v>26</v>
      </c>
      <c r="K33" t="s">
        <v>27</v>
      </c>
      <c r="L33" t="b">
        <v>1</v>
      </c>
      <c r="M33" t="s">
        <v>229</v>
      </c>
      <c r="N33" t="str">
        <f>"814/.3"</f>
        <v>814/.3</v>
      </c>
      <c r="O33" t="s">
        <v>230</v>
      </c>
      <c r="P33" t="b">
        <v>1</v>
      </c>
      <c r="Q33" t="b">
        <v>0</v>
      </c>
      <c r="R33" t="str">
        <f>"9780226098203"</f>
        <v>9780226098203</v>
      </c>
      <c r="S33" t="str">
        <f>"9780226417141"</f>
        <v>9780226417141</v>
      </c>
      <c r="T33">
        <v>802299702</v>
      </c>
    </row>
    <row r="34" spans="1:20" x14ac:dyDescent="0.25">
      <c r="A34">
        <v>1655689</v>
      </c>
      <c r="B34" t="s">
        <v>231</v>
      </c>
      <c r="C34" t="s">
        <v>232</v>
      </c>
      <c r="D34" t="s">
        <v>233</v>
      </c>
      <c r="E34" t="s">
        <v>234</v>
      </c>
      <c r="F34">
        <v>2016</v>
      </c>
      <c r="G34" t="s">
        <v>235</v>
      </c>
      <c r="H34" t="s">
        <v>236</v>
      </c>
      <c r="I34" t="s">
        <v>237</v>
      </c>
      <c r="J34" t="s">
        <v>26</v>
      </c>
      <c r="K34" t="s">
        <v>86</v>
      </c>
      <c r="L34" t="b">
        <v>1</v>
      </c>
      <c r="M34" t="s">
        <v>238</v>
      </c>
      <c r="N34" t="str">
        <f>"338.96"</f>
        <v>338.96</v>
      </c>
      <c r="P34" t="b">
        <v>0</v>
      </c>
      <c r="R34" t="str">
        <f>"9780815729495"</f>
        <v>9780815729495</v>
      </c>
      <c r="S34" t="str">
        <f>"9780815729501"</f>
        <v>9780815729501</v>
      </c>
      <c r="T34">
        <v>953387308</v>
      </c>
    </row>
    <row r="35" spans="1:20" x14ac:dyDescent="0.25">
      <c r="A35">
        <v>1642504</v>
      </c>
      <c r="B35" t="s">
        <v>239</v>
      </c>
      <c r="D35" t="s">
        <v>240</v>
      </c>
      <c r="E35" t="s">
        <v>241</v>
      </c>
      <c r="F35">
        <v>2017</v>
      </c>
      <c r="G35" t="s">
        <v>242</v>
      </c>
      <c r="H35" t="s">
        <v>243</v>
      </c>
      <c r="I35" t="s">
        <v>244</v>
      </c>
      <c r="J35" t="s">
        <v>26</v>
      </c>
      <c r="K35" t="s">
        <v>27</v>
      </c>
      <c r="L35" t="b">
        <v>1</v>
      </c>
      <c r="M35" t="s">
        <v>245</v>
      </c>
      <c r="N35" t="str">
        <f>"786.2092;B"</f>
        <v>786.2092;B</v>
      </c>
      <c r="P35" t="b">
        <v>0</v>
      </c>
      <c r="R35" t="str">
        <f>"9781512602609"</f>
        <v>9781512602609</v>
      </c>
      <c r="S35" t="str">
        <f>"9781512602616"</f>
        <v>9781512602616</v>
      </c>
      <c r="T35">
        <v>1002692888</v>
      </c>
    </row>
    <row r="36" spans="1:20" x14ac:dyDescent="0.25">
      <c r="A36">
        <v>1639715</v>
      </c>
      <c r="B36" t="s">
        <v>246</v>
      </c>
      <c r="C36" t="s">
        <v>247</v>
      </c>
      <c r="D36" t="s">
        <v>211</v>
      </c>
      <c r="E36" t="s">
        <v>212</v>
      </c>
      <c r="F36">
        <v>2017</v>
      </c>
      <c r="G36" t="s">
        <v>248</v>
      </c>
      <c r="H36" t="s">
        <v>249</v>
      </c>
      <c r="I36" t="s">
        <v>250</v>
      </c>
      <c r="J36" t="s">
        <v>26</v>
      </c>
      <c r="K36" t="s">
        <v>27</v>
      </c>
      <c r="L36" t="b">
        <v>1</v>
      </c>
      <c r="M36" t="s">
        <v>251</v>
      </c>
      <c r="N36" t="str">
        <f>"305.89915"</f>
        <v>305.89915</v>
      </c>
      <c r="O36" t="s">
        <v>252</v>
      </c>
      <c r="P36" t="b">
        <v>0</v>
      </c>
      <c r="Q36" t="b">
        <v>0</v>
      </c>
      <c r="S36" t="str">
        <f>"9781925523072"</f>
        <v>9781925523072</v>
      </c>
      <c r="T36">
        <v>1077291566</v>
      </c>
    </row>
    <row r="37" spans="1:20" x14ac:dyDescent="0.25">
      <c r="A37">
        <v>1636448</v>
      </c>
      <c r="B37" t="s">
        <v>253</v>
      </c>
      <c r="C37" t="s">
        <v>254</v>
      </c>
      <c r="D37" t="s">
        <v>255</v>
      </c>
      <c r="E37" t="s">
        <v>256</v>
      </c>
      <c r="F37">
        <v>2017</v>
      </c>
      <c r="G37" t="s">
        <v>257</v>
      </c>
      <c r="H37" t="s">
        <v>258</v>
      </c>
      <c r="I37" t="s">
        <v>259</v>
      </c>
      <c r="J37" t="s">
        <v>26</v>
      </c>
      <c r="K37" t="s">
        <v>86</v>
      </c>
      <c r="L37" t="b">
        <v>1</v>
      </c>
      <c r="M37" t="s">
        <v>260</v>
      </c>
      <c r="N37" t="str">
        <f>"345.9305"</f>
        <v>345.9305</v>
      </c>
      <c r="P37" t="b">
        <v>0</v>
      </c>
      <c r="R37" t="str">
        <f>"9781869408763"</f>
        <v>9781869408763</v>
      </c>
      <c r="S37" t="str">
        <f>"9781775589679"</f>
        <v>9781775589679</v>
      </c>
      <c r="T37">
        <v>1012939145</v>
      </c>
    </row>
    <row r="38" spans="1:20" x14ac:dyDescent="0.25">
      <c r="A38">
        <v>1628906</v>
      </c>
      <c r="B38" t="s">
        <v>261</v>
      </c>
      <c r="C38" t="s">
        <v>262</v>
      </c>
      <c r="D38" t="s">
        <v>131</v>
      </c>
      <c r="E38" t="s">
        <v>263</v>
      </c>
      <c r="F38">
        <v>2016</v>
      </c>
      <c r="G38" t="s">
        <v>264</v>
      </c>
      <c r="H38" t="s">
        <v>265</v>
      </c>
      <c r="I38" t="s">
        <v>266</v>
      </c>
      <c r="J38" t="s">
        <v>26</v>
      </c>
      <c r="K38" t="s">
        <v>48</v>
      </c>
      <c r="L38" t="b">
        <v>1</v>
      </c>
      <c r="M38" t="s">
        <v>267</v>
      </c>
      <c r="N38" t="str">
        <f>"378.198"</f>
        <v>378.198</v>
      </c>
      <c r="P38" t="b">
        <v>0</v>
      </c>
      <c r="R38" t="str">
        <f>"9781612436425"</f>
        <v>9781612436425</v>
      </c>
      <c r="S38" t="str">
        <f>"9781612436531"</f>
        <v>9781612436531</v>
      </c>
      <c r="T38">
        <v>963607678</v>
      </c>
    </row>
    <row r="39" spans="1:20" x14ac:dyDescent="0.25">
      <c r="A39">
        <v>1628900</v>
      </c>
      <c r="B39" t="s">
        <v>268</v>
      </c>
      <c r="C39" t="s">
        <v>269</v>
      </c>
      <c r="D39" t="s">
        <v>131</v>
      </c>
      <c r="E39" t="s">
        <v>263</v>
      </c>
      <c r="F39">
        <v>2016</v>
      </c>
      <c r="G39" t="s">
        <v>270</v>
      </c>
      <c r="H39" t="s">
        <v>271</v>
      </c>
      <c r="I39" t="s">
        <v>272</v>
      </c>
      <c r="J39" t="s">
        <v>26</v>
      </c>
      <c r="K39" t="s">
        <v>48</v>
      </c>
      <c r="L39" t="b">
        <v>1</v>
      </c>
      <c r="M39" t="s">
        <v>273</v>
      </c>
      <c r="N39" t="str">
        <f>"158.1"</f>
        <v>158.1</v>
      </c>
      <c r="P39" t="b">
        <v>0</v>
      </c>
      <c r="R39" t="str">
        <f>"9781612436395"</f>
        <v>9781612436395</v>
      </c>
      <c r="S39" t="str">
        <f>"9781612436586"</f>
        <v>9781612436586</v>
      </c>
      <c r="T39">
        <v>1013723792</v>
      </c>
    </row>
    <row r="40" spans="1:20" x14ac:dyDescent="0.25">
      <c r="A40">
        <v>1628717</v>
      </c>
      <c r="B40" t="s">
        <v>274</v>
      </c>
      <c r="C40" t="s">
        <v>275</v>
      </c>
      <c r="D40" t="s">
        <v>131</v>
      </c>
      <c r="E40" t="s">
        <v>276</v>
      </c>
      <c r="F40">
        <v>2016</v>
      </c>
      <c r="G40" t="s">
        <v>277</v>
      </c>
      <c r="H40" t="s">
        <v>278</v>
      </c>
      <c r="I40" t="s">
        <v>279</v>
      </c>
      <c r="J40" t="s">
        <v>26</v>
      </c>
      <c r="K40" t="s">
        <v>48</v>
      </c>
      <c r="L40" t="b">
        <v>1</v>
      </c>
      <c r="M40" t="s">
        <v>280</v>
      </c>
      <c r="N40" t="str">
        <f>"333.709794"</f>
        <v>333.709794</v>
      </c>
      <c r="P40" t="b">
        <v>0</v>
      </c>
      <c r="R40" t="str">
        <f>"9781595347824"</f>
        <v>9781595347824</v>
      </c>
      <c r="S40" t="str">
        <f>"9781595347831"</f>
        <v>9781595347831</v>
      </c>
      <c r="T40">
        <v>961350675</v>
      </c>
    </row>
    <row r="41" spans="1:20" x14ac:dyDescent="0.25">
      <c r="A41">
        <v>1628713</v>
      </c>
      <c r="B41" t="s">
        <v>281</v>
      </c>
      <c r="C41" t="s">
        <v>282</v>
      </c>
      <c r="D41" t="s">
        <v>131</v>
      </c>
      <c r="E41" t="s">
        <v>276</v>
      </c>
      <c r="F41">
        <v>2016</v>
      </c>
      <c r="G41" t="s">
        <v>283</v>
      </c>
      <c r="H41" t="s">
        <v>284</v>
      </c>
      <c r="I41" t="s">
        <v>285</v>
      </c>
      <c r="J41" t="s">
        <v>26</v>
      </c>
      <c r="K41" t="s">
        <v>48</v>
      </c>
      <c r="L41" t="b">
        <v>1</v>
      </c>
      <c r="M41" t="s">
        <v>286</v>
      </c>
      <c r="N41" t="str">
        <f>"813/.54"</f>
        <v>813/.54</v>
      </c>
      <c r="P41" t="b">
        <v>1</v>
      </c>
      <c r="R41" t="str">
        <f>"9781595347848"</f>
        <v>9781595347848</v>
      </c>
      <c r="S41" t="str">
        <f>"9781595347855"</f>
        <v>9781595347855</v>
      </c>
      <c r="T41">
        <v>986212761</v>
      </c>
    </row>
    <row r="42" spans="1:20" x14ac:dyDescent="0.25">
      <c r="A42">
        <v>1628712</v>
      </c>
      <c r="B42" t="s">
        <v>287</v>
      </c>
      <c r="C42" t="s">
        <v>288</v>
      </c>
      <c r="D42" t="s">
        <v>131</v>
      </c>
      <c r="E42" t="s">
        <v>276</v>
      </c>
      <c r="F42">
        <v>2016</v>
      </c>
      <c r="G42" t="s">
        <v>289</v>
      </c>
      <c r="H42" t="s">
        <v>290</v>
      </c>
      <c r="I42" t="s">
        <v>291</v>
      </c>
      <c r="J42" t="s">
        <v>26</v>
      </c>
      <c r="K42" t="s">
        <v>48</v>
      </c>
      <c r="L42" t="b">
        <v>1</v>
      </c>
      <c r="M42" t="s">
        <v>292</v>
      </c>
      <c r="N42" t="str">
        <f>"333.7"</f>
        <v>333.7</v>
      </c>
      <c r="P42" t="b">
        <v>0</v>
      </c>
      <c r="R42" t="str">
        <f>"9781595347800"</f>
        <v>9781595347800</v>
      </c>
      <c r="S42" t="str">
        <f>"9781595347787"</f>
        <v>9781595347787</v>
      </c>
      <c r="T42">
        <v>958580281</v>
      </c>
    </row>
    <row r="43" spans="1:20" x14ac:dyDescent="0.25">
      <c r="A43">
        <v>1628711</v>
      </c>
      <c r="B43" t="s">
        <v>293</v>
      </c>
      <c r="C43" t="s">
        <v>294</v>
      </c>
      <c r="D43" t="s">
        <v>131</v>
      </c>
      <c r="E43" t="s">
        <v>295</v>
      </c>
      <c r="F43">
        <v>2016</v>
      </c>
      <c r="G43" t="s">
        <v>296</v>
      </c>
      <c r="H43" t="s">
        <v>297</v>
      </c>
      <c r="I43" t="s">
        <v>298</v>
      </c>
      <c r="J43" t="s">
        <v>26</v>
      </c>
      <c r="K43" t="s">
        <v>48</v>
      </c>
      <c r="L43" t="b">
        <v>1</v>
      </c>
      <c r="M43" t="s">
        <v>299</v>
      </c>
      <c r="N43" t="str">
        <f>"700.92"</f>
        <v>700.92</v>
      </c>
      <c r="P43" t="b">
        <v>0</v>
      </c>
      <c r="R43" t="str">
        <f>"9781595347978"</f>
        <v>9781595347978</v>
      </c>
      <c r="S43" t="str">
        <f>"9781595347985"</f>
        <v>9781595347985</v>
      </c>
      <c r="T43">
        <v>1020319151</v>
      </c>
    </row>
    <row r="44" spans="1:20" x14ac:dyDescent="0.25">
      <c r="A44">
        <v>1628289</v>
      </c>
      <c r="B44" t="s">
        <v>300</v>
      </c>
      <c r="C44" t="s">
        <v>301</v>
      </c>
      <c r="D44" t="s">
        <v>302</v>
      </c>
      <c r="E44" t="s">
        <v>302</v>
      </c>
      <c r="F44">
        <v>2016</v>
      </c>
      <c r="G44" t="s">
        <v>303</v>
      </c>
      <c r="H44" t="s">
        <v>304</v>
      </c>
      <c r="I44" t="s">
        <v>305</v>
      </c>
      <c r="J44" t="s">
        <v>26</v>
      </c>
      <c r="K44" t="s">
        <v>27</v>
      </c>
      <c r="L44" t="b">
        <v>1</v>
      </c>
      <c r="M44" t="s">
        <v>306</v>
      </c>
      <c r="N44" t="str">
        <f>"668.9"</f>
        <v>668.9</v>
      </c>
      <c r="P44" t="b">
        <v>0</v>
      </c>
      <c r="S44" t="str">
        <f>"9783446437197"</f>
        <v>9783446437197</v>
      </c>
      <c r="T44">
        <v>940958279</v>
      </c>
    </row>
    <row r="45" spans="1:20" x14ac:dyDescent="0.25">
      <c r="A45">
        <v>1628288</v>
      </c>
      <c r="B45" t="s">
        <v>307</v>
      </c>
      <c r="D45" t="s">
        <v>302</v>
      </c>
      <c r="E45" t="s">
        <v>302</v>
      </c>
      <c r="F45">
        <v>2013</v>
      </c>
      <c r="H45" t="s">
        <v>308</v>
      </c>
      <c r="I45" t="s">
        <v>309</v>
      </c>
      <c r="J45" t="s">
        <v>26</v>
      </c>
      <c r="K45" t="s">
        <v>27</v>
      </c>
      <c r="L45" t="b">
        <v>1</v>
      </c>
      <c r="M45" t="s">
        <v>310</v>
      </c>
      <c r="N45" t="str">
        <f>"547/.7"</f>
        <v>547/.7</v>
      </c>
      <c r="P45" t="b">
        <v>0</v>
      </c>
      <c r="R45" t="str">
        <f>"9783446416451"</f>
        <v>9783446416451</v>
      </c>
      <c r="S45" t="str">
        <f>"9783446437098"</f>
        <v>9783446437098</v>
      </c>
      <c r="T45">
        <v>868885869</v>
      </c>
    </row>
    <row r="46" spans="1:20" x14ac:dyDescent="0.25">
      <c r="A46">
        <v>1628273</v>
      </c>
      <c r="B46" t="s">
        <v>311</v>
      </c>
      <c r="D46" t="s">
        <v>302</v>
      </c>
      <c r="E46" t="s">
        <v>302</v>
      </c>
      <c r="F46">
        <v>2013</v>
      </c>
      <c r="G46" t="s">
        <v>303</v>
      </c>
      <c r="H46" t="s">
        <v>312</v>
      </c>
      <c r="I46" t="s">
        <v>313</v>
      </c>
      <c r="J46" t="s">
        <v>26</v>
      </c>
      <c r="K46" t="s">
        <v>27</v>
      </c>
      <c r="L46" t="b">
        <v>1</v>
      </c>
      <c r="M46" t="s">
        <v>314</v>
      </c>
      <c r="N46" t="str">
        <f>"668.4/93"</f>
        <v>668.4/93</v>
      </c>
      <c r="P46" t="b">
        <v>0</v>
      </c>
      <c r="R46" t="str">
        <f>"9783446413719"</f>
        <v>9783446413719</v>
      </c>
      <c r="S46" t="str">
        <f>"9783446432666"</f>
        <v>9783446432666</v>
      </c>
      <c r="T46">
        <v>880338086</v>
      </c>
    </row>
    <row r="47" spans="1:20" x14ac:dyDescent="0.25">
      <c r="A47">
        <v>1628272</v>
      </c>
      <c r="B47" t="s">
        <v>315</v>
      </c>
      <c r="C47" t="s">
        <v>316</v>
      </c>
      <c r="D47" t="s">
        <v>302</v>
      </c>
      <c r="E47" t="s">
        <v>302</v>
      </c>
      <c r="F47">
        <v>2012</v>
      </c>
      <c r="G47" t="s">
        <v>303</v>
      </c>
      <c r="H47" t="s">
        <v>317</v>
      </c>
      <c r="I47" t="s">
        <v>318</v>
      </c>
      <c r="J47" t="s">
        <v>26</v>
      </c>
      <c r="K47" t="s">
        <v>27</v>
      </c>
      <c r="L47" t="b">
        <v>1</v>
      </c>
      <c r="M47" t="s">
        <v>319</v>
      </c>
      <c r="N47" t="str">
        <f>"668/.3"</f>
        <v>668/.3</v>
      </c>
      <c r="P47" t="b">
        <v>0</v>
      </c>
      <c r="R47" t="str">
        <f>"9783446427488"</f>
        <v>9783446427488</v>
      </c>
      <c r="S47" t="str">
        <f>"9783446431775"</f>
        <v>9783446431775</v>
      </c>
      <c r="T47">
        <v>838150478</v>
      </c>
    </row>
    <row r="48" spans="1:20" x14ac:dyDescent="0.25">
      <c r="A48">
        <v>1628271</v>
      </c>
      <c r="B48" t="s">
        <v>320</v>
      </c>
      <c r="C48" t="s">
        <v>321</v>
      </c>
      <c r="D48" t="s">
        <v>302</v>
      </c>
      <c r="E48" t="s">
        <v>302</v>
      </c>
      <c r="F48">
        <v>2012</v>
      </c>
      <c r="G48" t="s">
        <v>322</v>
      </c>
      <c r="H48" t="s">
        <v>323</v>
      </c>
      <c r="I48" t="s">
        <v>324</v>
      </c>
      <c r="J48" t="s">
        <v>26</v>
      </c>
      <c r="K48" t="s">
        <v>27</v>
      </c>
      <c r="L48" t="b">
        <v>1</v>
      </c>
      <c r="M48" t="s">
        <v>325</v>
      </c>
      <c r="N48" t="str">
        <f>"658.5"</f>
        <v>658.5</v>
      </c>
      <c r="P48" t="b">
        <v>0</v>
      </c>
      <c r="R48" t="str">
        <f>"9783446425521"</f>
        <v>9783446425521</v>
      </c>
      <c r="S48" t="str">
        <f>"9783446431621"</f>
        <v>9783446431621</v>
      </c>
      <c r="T48">
        <v>843889566</v>
      </c>
    </row>
    <row r="49" spans="1:20" x14ac:dyDescent="0.25">
      <c r="A49">
        <v>1628270</v>
      </c>
      <c r="B49" t="s">
        <v>326</v>
      </c>
      <c r="C49" t="s">
        <v>327</v>
      </c>
      <c r="D49" t="s">
        <v>302</v>
      </c>
      <c r="E49" t="s">
        <v>302</v>
      </c>
      <c r="F49">
        <v>2012</v>
      </c>
      <c r="G49" t="s">
        <v>328</v>
      </c>
      <c r="H49" t="s">
        <v>329</v>
      </c>
      <c r="I49" t="s">
        <v>330</v>
      </c>
      <c r="J49" t="s">
        <v>26</v>
      </c>
      <c r="K49" t="s">
        <v>27</v>
      </c>
      <c r="L49" t="b">
        <v>1</v>
      </c>
      <c r="M49" t="s">
        <v>331</v>
      </c>
      <c r="N49" t="str">
        <f>"624.1/8923"</f>
        <v>624.1/8923</v>
      </c>
      <c r="P49" t="b">
        <v>0</v>
      </c>
      <c r="R49" t="str">
        <f>"9783446422780"</f>
        <v>9783446422780</v>
      </c>
      <c r="S49" t="str">
        <f>"9783446431492"</f>
        <v>9783446431492</v>
      </c>
      <c r="T49">
        <v>843889567</v>
      </c>
    </row>
    <row r="50" spans="1:20" x14ac:dyDescent="0.25">
      <c r="A50">
        <v>1628265</v>
      </c>
      <c r="B50" t="s">
        <v>332</v>
      </c>
      <c r="C50" t="s">
        <v>333</v>
      </c>
      <c r="D50" t="s">
        <v>302</v>
      </c>
      <c r="E50" t="s">
        <v>302</v>
      </c>
      <c r="F50">
        <v>2013</v>
      </c>
      <c r="G50" t="s">
        <v>334</v>
      </c>
      <c r="H50" t="s">
        <v>335</v>
      </c>
      <c r="I50" t="s">
        <v>336</v>
      </c>
      <c r="J50" t="s">
        <v>26</v>
      </c>
      <c r="K50" t="s">
        <v>27</v>
      </c>
      <c r="L50" t="b">
        <v>1</v>
      </c>
      <c r="M50" t="s">
        <v>337</v>
      </c>
      <c r="N50" t="str">
        <f>"620.1/9236"</f>
        <v>620.1/9236</v>
      </c>
      <c r="P50" t="b">
        <v>0</v>
      </c>
      <c r="R50" t="str">
        <f>"9783446416840"</f>
        <v>9783446416840</v>
      </c>
      <c r="S50" t="str">
        <f>"9783446428829"</f>
        <v>9783446428829</v>
      </c>
      <c r="T50">
        <v>880863322</v>
      </c>
    </row>
    <row r="51" spans="1:20" x14ac:dyDescent="0.25">
      <c r="A51">
        <v>1628264</v>
      </c>
      <c r="B51" t="s">
        <v>338</v>
      </c>
      <c r="C51" t="s">
        <v>339</v>
      </c>
      <c r="D51" t="s">
        <v>302</v>
      </c>
      <c r="E51" t="s">
        <v>302</v>
      </c>
      <c r="F51">
        <v>2012</v>
      </c>
      <c r="G51" t="s">
        <v>334</v>
      </c>
      <c r="H51" t="s">
        <v>340</v>
      </c>
      <c r="I51" t="s">
        <v>341</v>
      </c>
      <c r="J51" t="s">
        <v>26</v>
      </c>
      <c r="K51" t="s">
        <v>27</v>
      </c>
      <c r="L51" t="b">
        <v>1</v>
      </c>
      <c r="M51" t="s">
        <v>342</v>
      </c>
      <c r="N51" t="str">
        <f>"620.1/94"</f>
        <v>620.1/94</v>
      </c>
      <c r="P51" t="b">
        <v>0</v>
      </c>
      <c r="R51" t="str">
        <f>"9783446427648"</f>
        <v>9783446427648</v>
      </c>
      <c r="S51" t="str">
        <f>"9783446428713"</f>
        <v>9783446428713</v>
      </c>
      <c r="T51">
        <v>800109662</v>
      </c>
    </row>
    <row r="52" spans="1:20" x14ac:dyDescent="0.25">
      <c r="A52">
        <v>1628263</v>
      </c>
      <c r="B52" t="s">
        <v>343</v>
      </c>
      <c r="D52" t="s">
        <v>302</v>
      </c>
      <c r="E52" t="s">
        <v>302</v>
      </c>
      <c r="F52">
        <v>2012</v>
      </c>
      <c r="H52" t="s">
        <v>344</v>
      </c>
      <c r="I52" t="s">
        <v>345</v>
      </c>
      <c r="J52" t="s">
        <v>26</v>
      </c>
      <c r="K52" t="s">
        <v>27</v>
      </c>
      <c r="L52" t="b">
        <v>1</v>
      </c>
      <c r="M52" t="s">
        <v>346</v>
      </c>
      <c r="N52" t="str">
        <f>"678/.20284"</f>
        <v>678/.20284</v>
      </c>
      <c r="P52" t="b">
        <v>0</v>
      </c>
      <c r="R52" t="str">
        <f>"9783446417434"</f>
        <v>9783446417434</v>
      </c>
      <c r="S52" t="str">
        <f>"9783446428652"</f>
        <v>9783446428652</v>
      </c>
      <c r="T52">
        <v>843905333</v>
      </c>
    </row>
    <row r="53" spans="1:20" x14ac:dyDescent="0.25">
      <c r="A53">
        <v>1628262</v>
      </c>
      <c r="B53" t="s">
        <v>347</v>
      </c>
      <c r="C53" t="s">
        <v>348</v>
      </c>
      <c r="D53" t="s">
        <v>302</v>
      </c>
      <c r="E53" t="s">
        <v>302</v>
      </c>
      <c r="F53">
        <v>2012</v>
      </c>
      <c r="G53" t="s">
        <v>349</v>
      </c>
      <c r="H53" t="s">
        <v>350</v>
      </c>
      <c r="I53" t="s">
        <v>351</v>
      </c>
      <c r="J53" t="s">
        <v>26</v>
      </c>
      <c r="K53" t="s">
        <v>27</v>
      </c>
      <c r="L53" t="b">
        <v>1</v>
      </c>
      <c r="M53" t="s">
        <v>352</v>
      </c>
      <c r="N53" t="str">
        <f>"620.1/9204299"</f>
        <v>620.1/9204299</v>
      </c>
      <c r="P53" t="b">
        <v>0</v>
      </c>
      <c r="R53" t="str">
        <f>"9783446427679"</f>
        <v>9783446427679</v>
      </c>
      <c r="S53" t="str">
        <f>"9783446428447"</f>
        <v>9783446428447</v>
      </c>
      <c r="T53">
        <v>843889568</v>
      </c>
    </row>
    <row r="54" spans="1:20" x14ac:dyDescent="0.25">
      <c r="A54">
        <v>1628237</v>
      </c>
      <c r="B54" t="s">
        <v>353</v>
      </c>
      <c r="C54" t="s">
        <v>354</v>
      </c>
      <c r="D54" t="s">
        <v>302</v>
      </c>
      <c r="E54" t="s">
        <v>302</v>
      </c>
      <c r="F54">
        <v>2016</v>
      </c>
      <c r="G54" t="s">
        <v>355</v>
      </c>
      <c r="H54" t="s">
        <v>356</v>
      </c>
      <c r="I54" t="s">
        <v>357</v>
      </c>
      <c r="J54" t="s">
        <v>26</v>
      </c>
      <c r="K54" t="s">
        <v>27</v>
      </c>
      <c r="L54" t="b">
        <v>1</v>
      </c>
      <c r="M54" t="s">
        <v>358</v>
      </c>
      <c r="N54" t="str">
        <f>"671.35068"</f>
        <v>671.35068</v>
      </c>
      <c r="P54" t="b">
        <v>0</v>
      </c>
      <c r="R54" t="str">
        <f>"9781569906392"</f>
        <v>9781569906392</v>
      </c>
      <c r="S54" t="str">
        <f>"9781569906408"</f>
        <v>9781569906408</v>
      </c>
      <c r="T54">
        <v>965752632</v>
      </c>
    </row>
    <row r="55" spans="1:20" x14ac:dyDescent="0.25">
      <c r="A55">
        <v>1628235</v>
      </c>
      <c r="B55" t="s">
        <v>359</v>
      </c>
      <c r="D55" t="s">
        <v>302</v>
      </c>
      <c r="E55" t="s">
        <v>302</v>
      </c>
      <c r="F55">
        <v>2016</v>
      </c>
      <c r="G55" t="s">
        <v>303</v>
      </c>
      <c r="H55" t="s">
        <v>360</v>
      </c>
      <c r="I55" t="s">
        <v>361</v>
      </c>
      <c r="J55" t="s">
        <v>26</v>
      </c>
      <c r="K55" t="s">
        <v>27</v>
      </c>
      <c r="L55" t="b">
        <v>1</v>
      </c>
      <c r="M55" t="s">
        <v>362</v>
      </c>
      <c r="N55" t="str">
        <f>"668.423"</f>
        <v>668.423</v>
      </c>
      <c r="P55" t="b">
        <v>0</v>
      </c>
      <c r="R55" t="str">
        <f>"9781569906293"</f>
        <v>9781569906293</v>
      </c>
      <c r="S55" t="str">
        <f>"9781569906309"</f>
        <v>9781569906309</v>
      </c>
      <c r="T55">
        <v>970006464</v>
      </c>
    </row>
    <row r="56" spans="1:20" x14ac:dyDescent="0.25">
      <c r="A56">
        <v>1628233</v>
      </c>
      <c r="B56" t="s">
        <v>363</v>
      </c>
      <c r="C56" t="s">
        <v>364</v>
      </c>
      <c r="D56" t="s">
        <v>302</v>
      </c>
      <c r="E56" t="s">
        <v>302</v>
      </c>
      <c r="F56">
        <v>2016</v>
      </c>
      <c r="G56" t="s">
        <v>303</v>
      </c>
      <c r="H56" t="s">
        <v>312</v>
      </c>
      <c r="I56" t="s">
        <v>365</v>
      </c>
      <c r="J56" t="s">
        <v>26</v>
      </c>
      <c r="K56" t="s">
        <v>27</v>
      </c>
      <c r="L56" t="b">
        <v>1</v>
      </c>
      <c r="M56" t="s">
        <v>366</v>
      </c>
      <c r="N56" t="str">
        <f>"668.4/13"</f>
        <v>668.4/13</v>
      </c>
      <c r="P56" t="b">
        <v>0</v>
      </c>
      <c r="S56" t="str">
        <f>"9781569906248"</f>
        <v>9781569906248</v>
      </c>
      <c r="T56">
        <v>961388680</v>
      </c>
    </row>
    <row r="57" spans="1:20" x14ac:dyDescent="0.25">
      <c r="A57">
        <v>1628232</v>
      </c>
      <c r="B57" t="s">
        <v>367</v>
      </c>
      <c r="C57" t="s">
        <v>368</v>
      </c>
      <c r="D57" t="s">
        <v>302</v>
      </c>
      <c r="E57" t="s">
        <v>302</v>
      </c>
      <c r="F57">
        <v>2016</v>
      </c>
      <c r="G57" t="s">
        <v>334</v>
      </c>
      <c r="H57" t="s">
        <v>369</v>
      </c>
      <c r="I57" t="s">
        <v>370</v>
      </c>
      <c r="J57" t="s">
        <v>26</v>
      </c>
      <c r="K57" t="s">
        <v>27</v>
      </c>
      <c r="L57" t="b">
        <v>1</v>
      </c>
      <c r="M57" t="s">
        <v>371</v>
      </c>
      <c r="N57" t="str">
        <f>"620.1/920423"</f>
        <v>620.1/920423</v>
      </c>
      <c r="P57" t="b">
        <v>0</v>
      </c>
      <c r="S57" t="str">
        <f>"9781569906088"</f>
        <v>9781569906088</v>
      </c>
      <c r="T57">
        <v>965195944</v>
      </c>
    </row>
    <row r="58" spans="1:20" x14ac:dyDescent="0.25">
      <c r="A58">
        <v>1628230</v>
      </c>
      <c r="B58" t="s">
        <v>372</v>
      </c>
      <c r="C58" t="s">
        <v>373</v>
      </c>
      <c r="D58" t="s">
        <v>302</v>
      </c>
      <c r="E58" t="s">
        <v>302</v>
      </c>
      <c r="F58">
        <v>2016</v>
      </c>
      <c r="G58" t="s">
        <v>349</v>
      </c>
      <c r="H58" t="s">
        <v>374</v>
      </c>
      <c r="I58" t="s">
        <v>375</v>
      </c>
      <c r="J58" t="s">
        <v>26</v>
      </c>
      <c r="K58" t="s">
        <v>27</v>
      </c>
      <c r="L58" t="b">
        <v>1</v>
      </c>
      <c r="M58" t="s">
        <v>376</v>
      </c>
      <c r="N58" t="str">
        <f>"620.1/18"</f>
        <v>620.1/18</v>
      </c>
      <c r="O58" t="s">
        <v>377</v>
      </c>
      <c r="P58" t="b">
        <v>0</v>
      </c>
      <c r="R58" t="str">
        <f>"9781569905999"</f>
        <v>9781569905999</v>
      </c>
      <c r="S58" t="str">
        <f>"9781569906002"</f>
        <v>9781569906002</v>
      </c>
      <c r="T58">
        <v>949280781</v>
      </c>
    </row>
    <row r="59" spans="1:20" x14ac:dyDescent="0.25">
      <c r="A59">
        <v>1628229</v>
      </c>
      <c r="B59" t="s">
        <v>378</v>
      </c>
      <c r="C59" t="s">
        <v>379</v>
      </c>
      <c r="D59" t="s">
        <v>302</v>
      </c>
      <c r="E59" t="s">
        <v>302</v>
      </c>
      <c r="F59">
        <v>2016</v>
      </c>
      <c r="G59" t="s">
        <v>303</v>
      </c>
      <c r="H59" t="s">
        <v>380</v>
      </c>
      <c r="I59" t="s">
        <v>381</v>
      </c>
      <c r="J59" t="s">
        <v>26</v>
      </c>
      <c r="K59" t="s">
        <v>27</v>
      </c>
      <c r="L59" t="b">
        <v>1</v>
      </c>
      <c r="M59" t="s">
        <v>382</v>
      </c>
      <c r="N59" t="str">
        <f>"668.4/1"</f>
        <v>668.4/1</v>
      </c>
      <c r="P59" t="b">
        <v>0</v>
      </c>
      <c r="R59" t="str">
        <f>"9781569905975"</f>
        <v>9781569905975</v>
      </c>
      <c r="S59" t="str">
        <f>"9781569905982"</f>
        <v>9781569905982</v>
      </c>
      <c r="T59">
        <v>970666908</v>
      </c>
    </row>
    <row r="60" spans="1:20" x14ac:dyDescent="0.25">
      <c r="A60">
        <v>1628228</v>
      </c>
      <c r="B60" t="s">
        <v>383</v>
      </c>
      <c r="C60" t="s">
        <v>384</v>
      </c>
      <c r="D60" t="s">
        <v>302</v>
      </c>
      <c r="E60" t="s">
        <v>302</v>
      </c>
      <c r="F60">
        <v>2016</v>
      </c>
      <c r="G60" t="s">
        <v>355</v>
      </c>
      <c r="H60" t="s">
        <v>385</v>
      </c>
      <c r="I60" t="s">
        <v>386</v>
      </c>
      <c r="J60" t="s">
        <v>26</v>
      </c>
      <c r="K60" t="s">
        <v>27</v>
      </c>
      <c r="L60" t="b">
        <v>1</v>
      </c>
      <c r="M60" t="s">
        <v>387</v>
      </c>
      <c r="N60" t="str">
        <f>"670.42"</f>
        <v>670.42</v>
      </c>
      <c r="P60" t="b">
        <v>0</v>
      </c>
      <c r="S60" t="str">
        <f>"9781569905968"</f>
        <v>9781569905968</v>
      </c>
      <c r="T60">
        <v>965752527</v>
      </c>
    </row>
    <row r="61" spans="1:20" x14ac:dyDescent="0.25">
      <c r="A61">
        <v>1628227</v>
      </c>
      <c r="B61" t="s">
        <v>388</v>
      </c>
      <c r="D61" t="s">
        <v>302</v>
      </c>
      <c r="E61" t="s">
        <v>302</v>
      </c>
      <c r="F61">
        <v>2016</v>
      </c>
      <c r="G61" t="s">
        <v>303</v>
      </c>
      <c r="H61" t="s">
        <v>389</v>
      </c>
      <c r="I61" t="s">
        <v>390</v>
      </c>
      <c r="J61" t="s">
        <v>26</v>
      </c>
      <c r="K61" t="s">
        <v>27</v>
      </c>
      <c r="L61" t="b">
        <v>1</v>
      </c>
      <c r="M61" t="s">
        <v>391</v>
      </c>
      <c r="N61" t="str">
        <f>"668.4/12"</f>
        <v>668.4/12</v>
      </c>
      <c r="P61" t="b">
        <v>0</v>
      </c>
      <c r="S61" t="str">
        <f>"9781569905937"</f>
        <v>9781569905937</v>
      </c>
      <c r="T61">
        <v>965752855</v>
      </c>
    </row>
    <row r="62" spans="1:20" x14ac:dyDescent="0.25">
      <c r="A62">
        <v>1628225</v>
      </c>
      <c r="B62" t="s">
        <v>392</v>
      </c>
      <c r="C62" t="s">
        <v>393</v>
      </c>
      <c r="D62" t="s">
        <v>302</v>
      </c>
      <c r="E62" t="s">
        <v>302</v>
      </c>
      <c r="F62">
        <v>2016</v>
      </c>
      <c r="G62" t="s">
        <v>394</v>
      </c>
      <c r="H62" t="s">
        <v>395</v>
      </c>
      <c r="I62" t="s">
        <v>396</v>
      </c>
      <c r="J62" t="s">
        <v>26</v>
      </c>
      <c r="K62" t="s">
        <v>27</v>
      </c>
      <c r="L62" t="b">
        <v>1</v>
      </c>
      <c r="M62" t="s">
        <v>397</v>
      </c>
      <c r="N62" t="str">
        <f>"621.9/88"</f>
        <v>621.9/88</v>
      </c>
      <c r="P62" t="b">
        <v>0</v>
      </c>
      <c r="S62" t="str">
        <f>"9781569905838"</f>
        <v>9781569905838</v>
      </c>
      <c r="T62">
        <v>951664448</v>
      </c>
    </row>
    <row r="63" spans="1:20" x14ac:dyDescent="0.25">
      <c r="A63">
        <v>1628224</v>
      </c>
      <c r="B63" t="s">
        <v>398</v>
      </c>
      <c r="C63" t="s">
        <v>399</v>
      </c>
      <c r="D63" t="s">
        <v>302</v>
      </c>
      <c r="E63" t="s">
        <v>302</v>
      </c>
      <c r="F63">
        <v>2016</v>
      </c>
      <c r="G63" t="s">
        <v>400</v>
      </c>
      <c r="H63" t="s">
        <v>401</v>
      </c>
      <c r="I63" t="s">
        <v>402</v>
      </c>
      <c r="J63" t="s">
        <v>26</v>
      </c>
      <c r="K63" t="s">
        <v>27</v>
      </c>
      <c r="L63" t="b">
        <v>1</v>
      </c>
      <c r="M63" t="s">
        <v>403</v>
      </c>
      <c r="N63" t="str">
        <f>"628.9/223"</f>
        <v>628.9/223</v>
      </c>
      <c r="P63" t="b">
        <v>0</v>
      </c>
      <c r="R63" t="str">
        <f>"9781569905784"</f>
        <v>9781569905784</v>
      </c>
      <c r="S63" t="str">
        <f>"9781569905791"</f>
        <v>9781569905791</v>
      </c>
      <c r="T63">
        <v>942612752</v>
      </c>
    </row>
    <row r="64" spans="1:20" x14ac:dyDescent="0.25">
      <c r="A64">
        <v>1628222</v>
      </c>
      <c r="B64" t="s">
        <v>404</v>
      </c>
      <c r="D64" t="s">
        <v>302</v>
      </c>
      <c r="E64" t="s">
        <v>302</v>
      </c>
      <c r="F64">
        <v>2015</v>
      </c>
      <c r="G64" t="s">
        <v>303</v>
      </c>
      <c r="H64" t="s">
        <v>405</v>
      </c>
      <c r="I64" t="s">
        <v>406</v>
      </c>
      <c r="J64" t="s">
        <v>26</v>
      </c>
      <c r="K64" t="s">
        <v>27</v>
      </c>
      <c r="L64" t="b">
        <v>1</v>
      </c>
      <c r="M64" t="s">
        <v>407</v>
      </c>
      <c r="N64" t="str">
        <f>"668.4"</f>
        <v>668.4</v>
      </c>
      <c r="P64" t="b">
        <v>0</v>
      </c>
      <c r="R64" t="str">
        <f>"9781569905722"</f>
        <v>9781569905722</v>
      </c>
      <c r="S64" t="str">
        <f>"9781569905739"</f>
        <v>9781569905739</v>
      </c>
      <c r="T64">
        <v>981127305</v>
      </c>
    </row>
    <row r="65" spans="1:20" x14ac:dyDescent="0.25">
      <c r="A65">
        <v>1628221</v>
      </c>
      <c r="B65" t="s">
        <v>408</v>
      </c>
      <c r="D65" t="s">
        <v>302</v>
      </c>
      <c r="E65" t="s">
        <v>302</v>
      </c>
      <c r="F65">
        <v>2016</v>
      </c>
      <c r="G65" t="s">
        <v>303</v>
      </c>
      <c r="H65" t="s">
        <v>409</v>
      </c>
      <c r="I65" t="s">
        <v>390</v>
      </c>
      <c r="J65" t="s">
        <v>26</v>
      </c>
      <c r="K65" t="s">
        <v>27</v>
      </c>
      <c r="L65" t="b">
        <v>1</v>
      </c>
      <c r="M65" t="s">
        <v>410</v>
      </c>
      <c r="N65" t="str">
        <f>"668.4/12"</f>
        <v>668.4/12</v>
      </c>
      <c r="P65" t="b">
        <v>0</v>
      </c>
      <c r="S65" t="str">
        <f>"9781569905715"</f>
        <v>9781569905715</v>
      </c>
      <c r="T65">
        <v>951670495</v>
      </c>
    </row>
    <row r="66" spans="1:20" x14ac:dyDescent="0.25">
      <c r="A66">
        <v>1628220</v>
      </c>
      <c r="B66" t="s">
        <v>411</v>
      </c>
      <c r="D66" t="s">
        <v>302</v>
      </c>
      <c r="E66" t="s">
        <v>302</v>
      </c>
      <c r="F66">
        <v>2014</v>
      </c>
      <c r="G66" t="s">
        <v>303</v>
      </c>
      <c r="H66" t="s">
        <v>412</v>
      </c>
      <c r="I66" t="s">
        <v>413</v>
      </c>
      <c r="J66" t="s">
        <v>26</v>
      </c>
      <c r="K66" t="s">
        <v>27</v>
      </c>
      <c r="L66" t="b">
        <v>1</v>
      </c>
      <c r="M66" t="s">
        <v>414</v>
      </c>
      <c r="N66" t="str">
        <f>"668.4/13"</f>
        <v>668.4/13</v>
      </c>
      <c r="P66" t="b">
        <v>0</v>
      </c>
      <c r="R66" t="str">
        <f>"9781569905685"</f>
        <v>9781569905685</v>
      </c>
      <c r="S66" t="str">
        <f>"9781569905692"</f>
        <v>9781569905692</v>
      </c>
      <c r="T66">
        <v>919002784</v>
      </c>
    </row>
    <row r="67" spans="1:20" x14ac:dyDescent="0.25">
      <c r="A67">
        <v>1628219</v>
      </c>
      <c r="B67" t="s">
        <v>415</v>
      </c>
      <c r="C67" t="s">
        <v>316</v>
      </c>
      <c r="D67" t="s">
        <v>302</v>
      </c>
      <c r="E67" t="s">
        <v>302</v>
      </c>
      <c r="F67">
        <v>2014</v>
      </c>
      <c r="G67" t="s">
        <v>416</v>
      </c>
      <c r="H67" t="s">
        <v>417</v>
      </c>
      <c r="I67" t="s">
        <v>418</v>
      </c>
      <c r="J67" t="s">
        <v>26</v>
      </c>
      <c r="K67" t="s">
        <v>27</v>
      </c>
      <c r="L67" t="b">
        <v>1</v>
      </c>
      <c r="M67" t="s">
        <v>419</v>
      </c>
      <c r="N67" t="str">
        <f>"677"</f>
        <v>677</v>
      </c>
      <c r="P67" t="b">
        <v>0</v>
      </c>
      <c r="R67" t="str">
        <f>"9781569905654"</f>
        <v>9781569905654</v>
      </c>
      <c r="S67" t="str">
        <f>"9781569905661"</f>
        <v>9781569905661</v>
      </c>
      <c r="T67">
        <v>907394165</v>
      </c>
    </row>
    <row r="68" spans="1:20" x14ac:dyDescent="0.25">
      <c r="A68">
        <v>1628218</v>
      </c>
      <c r="B68" t="s">
        <v>420</v>
      </c>
      <c r="C68" t="s">
        <v>421</v>
      </c>
      <c r="D68" t="s">
        <v>302</v>
      </c>
      <c r="E68" t="s">
        <v>302</v>
      </c>
      <c r="F68">
        <v>2016</v>
      </c>
      <c r="G68" t="s">
        <v>303</v>
      </c>
      <c r="H68" t="s">
        <v>422</v>
      </c>
      <c r="I68" t="s">
        <v>423</v>
      </c>
      <c r="J68" t="s">
        <v>26</v>
      </c>
      <c r="K68" t="s">
        <v>27</v>
      </c>
      <c r="L68" t="b">
        <v>1</v>
      </c>
      <c r="M68" t="s">
        <v>424</v>
      </c>
      <c r="N68" t="str">
        <f>"668.90223"</f>
        <v>668.90223</v>
      </c>
      <c r="P68" t="b">
        <v>0</v>
      </c>
      <c r="R68" t="str">
        <f>"9781569905579"</f>
        <v>9781569905579</v>
      </c>
      <c r="S68" t="str">
        <f>"9781569905586"</f>
        <v>9781569905586</v>
      </c>
      <c r="T68">
        <v>958060027</v>
      </c>
    </row>
    <row r="69" spans="1:20" x14ac:dyDescent="0.25">
      <c r="A69">
        <v>1628217</v>
      </c>
      <c r="B69" t="s">
        <v>425</v>
      </c>
      <c r="D69" t="s">
        <v>302</v>
      </c>
      <c r="E69" t="s">
        <v>302</v>
      </c>
      <c r="F69">
        <v>2013</v>
      </c>
      <c r="G69" t="s">
        <v>355</v>
      </c>
      <c r="H69" t="s">
        <v>426</v>
      </c>
      <c r="I69" t="s">
        <v>427</v>
      </c>
      <c r="J69" t="s">
        <v>26</v>
      </c>
      <c r="K69" t="s">
        <v>27</v>
      </c>
      <c r="L69" t="b">
        <v>1</v>
      </c>
      <c r="M69" t="s">
        <v>428</v>
      </c>
      <c r="N69" t="str">
        <f>"678/.3"</f>
        <v>678/.3</v>
      </c>
      <c r="P69" t="b">
        <v>0</v>
      </c>
      <c r="R69" t="str">
        <f>"9781569905531"</f>
        <v>9781569905531</v>
      </c>
      <c r="S69" t="str">
        <f>"9781569905548"</f>
        <v>9781569905548</v>
      </c>
      <c r="T69">
        <v>887249456</v>
      </c>
    </row>
    <row r="70" spans="1:20" x14ac:dyDescent="0.25">
      <c r="A70">
        <v>1628216</v>
      </c>
      <c r="B70" t="s">
        <v>429</v>
      </c>
      <c r="C70" t="s">
        <v>430</v>
      </c>
      <c r="D70" t="s">
        <v>302</v>
      </c>
      <c r="E70" t="s">
        <v>302</v>
      </c>
      <c r="F70">
        <v>2014</v>
      </c>
      <c r="G70" t="s">
        <v>394</v>
      </c>
      <c r="H70" t="s">
        <v>431</v>
      </c>
      <c r="I70" t="s">
        <v>432</v>
      </c>
      <c r="J70" t="s">
        <v>26</v>
      </c>
      <c r="K70" t="s">
        <v>27</v>
      </c>
      <c r="L70" t="b">
        <v>1</v>
      </c>
      <c r="M70" t="s">
        <v>433</v>
      </c>
      <c r="N70" t="str">
        <f>"621.3815"</f>
        <v>621.3815</v>
      </c>
      <c r="P70" t="b">
        <v>0</v>
      </c>
      <c r="R70" t="str">
        <f>"9781569905517"</f>
        <v>9781569905517</v>
      </c>
      <c r="S70" t="str">
        <f>"9781569905524"</f>
        <v>9781569905524</v>
      </c>
      <c r="T70">
        <v>891586550</v>
      </c>
    </row>
    <row r="71" spans="1:20" x14ac:dyDescent="0.25">
      <c r="A71">
        <v>1628215</v>
      </c>
      <c r="B71" t="s">
        <v>434</v>
      </c>
      <c r="D71" t="s">
        <v>302</v>
      </c>
      <c r="E71" t="s">
        <v>302</v>
      </c>
      <c r="F71">
        <v>2013</v>
      </c>
      <c r="G71" t="s">
        <v>303</v>
      </c>
      <c r="H71" t="s">
        <v>435</v>
      </c>
      <c r="I71" t="s">
        <v>436</v>
      </c>
      <c r="J71" t="s">
        <v>26</v>
      </c>
      <c r="K71" t="s">
        <v>27</v>
      </c>
      <c r="L71" t="b">
        <v>1</v>
      </c>
      <c r="M71" t="s">
        <v>437</v>
      </c>
      <c r="N71" t="str">
        <f>"668.4/12"</f>
        <v>668.4/12</v>
      </c>
      <c r="P71" t="b">
        <v>0</v>
      </c>
      <c r="R71" t="str">
        <f>"9781569904466"</f>
        <v>9781569904466</v>
      </c>
      <c r="S71" t="str">
        <f>"9781569905500"</f>
        <v>9781569905500</v>
      </c>
      <c r="T71">
        <v>868885619</v>
      </c>
    </row>
    <row r="72" spans="1:20" x14ac:dyDescent="0.25">
      <c r="A72">
        <v>1628214</v>
      </c>
      <c r="B72" t="s">
        <v>438</v>
      </c>
      <c r="D72" t="s">
        <v>302</v>
      </c>
      <c r="E72" t="s">
        <v>302</v>
      </c>
      <c r="F72">
        <v>2013</v>
      </c>
      <c r="G72" t="s">
        <v>349</v>
      </c>
      <c r="H72" t="s">
        <v>439</v>
      </c>
      <c r="I72" t="s">
        <v>440</v>
      </c>
      <c r="J72" t="s">
        <v>26</v>
      </c>
      <c r="K72" t="s">
        <v>27</v>
      </c>
      <c r="L72" t="b">
        <v>1</v>
      </c>
      <c r="M72" t="s">
        <v>441</v>
      </c>
      <c r="N72" t="str">
        <f>"620.1/920287"</f>
        <v>620.1/920287</v>
      </c>
      <c r="P72" t="b">
        <v>0</v>
      </c>
      <c r="R72" t="str">
        <f>"9781569905487"</f>
        <v>9781569905487</v>
      </c>
      <c r="S72" t="str">
        <f>"9781569905494"</f>
        <v>9781569905494</v>
      </c>
      <c r="T72">
        <v>880900329</v>
      </c>
    </row>
    <row r="73" spans="1:20" x14ac:dyDescent="0.25">
      <c r="A73">
        <v>1628213</v>
      </c>
      <c r="B73" t="s">
        <v>442</v>
      </c>
      <c r="D73" t="s">
        <v>302</v>
      </c>
      <c r="E73" t="s">
        <v>302</v>
      </c>
      <c r="F73">
        <v>2015</v>
      </c>
      <c r="G73" t="s">
        <v>349</v>
      </c>
      <c r="H73" t="s">
        <v>443</v>
      </c>
      <c r="I73" t="s">
        <v>444</v>
      </c>
      <c r="J73" t="s">
        <v>26</v>
      </c>
      <c r="K73" t="s">
        <v>27</v>
      </c>
      <c r="L73" t="b">
        <v>1</v>
      </c>
      <c r="M73" t="s">
        <v>445</v>
      </c>
      <c r="N73" t="str">
        <f>"620.1/9236"</f>
        <v>620.1/9236</v>
      </c>
      <c r="P73" t="b">
        <v>0</v>
      </c>
      <c r="R73" t="str">
        <f>"9781569905197"</f>
        <v>9781569905197</v>
      </c>
      <c r="S73" t="str">
        <f>"9781569905456"</f>
        <v>9781569905456</v>
      </c>
      <c r="T73">
        <v>919255403</v>
      </c>
    </row>
    <row r="74" spans="1:20" x14ac:dyDescent="0.25">
      <c r="A74">
        <v>1628212</v>
      </c>
      <c r="B74" t="s">
        <v>446</v>
      </c>
      <c r="C74" t="s">
        <v>447</v>
      </c>
      <c r="D74" t="s">
        <v>302</v>
      </c>
      <c r="E74" t="s">
        <v>302</v>
      </c>
      <c r="F74">
        <v>2015</v>
      </c>
      <c r="G74" t="s">
        <v>303</v>
      </c>
      <c r="H74" t="s">
        <v>448</v>
      </c>
      <c r="I74" t="s">
        <v>449</v>
      </c>
      <c r="J74" t="s">
        <v>26</v>
      </c>
      <c r="K74" t="s">
        <v>27</v>
      </c>
      <c r="L74" t="b">
        <v>1</v>
      </c>
      <c r="M74" t="s">
        <v>450</v>
      </c>
      <c r="N74" t="str">
        <f>"668.4236"</f>
        <v>668.4236</v>
      </c>
      <c r="P74" t="b">
        <v>0</v>
      </c>
      <c r="R74" t="str">
        <f>"9781569905432"</f>
        <v>9781569905432</v>
      </c>
      <c r="S74" t="str">
        <f>"9781569905449"</f>
        <v>9781569905449</v>
      </c>
      <c r="T74">
        <v>919255055</v>
      </c>
    </row>
    <row r="75" spans="1:20" x14ac:dyDescent="0.25">
      <c r="A75">
        <v>1628211</v>
      </c>
      <c r="B75" t="s">
        <v>451</v>
      </c>
      <c r="D75" t="s">
        <v>302</v>
      </c>
      <c r="E75" t="s">
        <v>302</v>
      </c>
      <c r="F75">
        <v>2013</v>
      </c>
      <c r="G75" t="s">
        <v>303</v>
      </c>
      <c r="H75" t="s">
        <v>452</v>
      </c>
      <c r="I75" t="s">
        <v>453</v>
      </c>
      <c r="J75" t="s">
        <v>26</v>
      </c>
      <c r="K75" t="s">
        <v>27</v>
      </c>
      <c r="L75" t="b">
        <v>1</v>
      </c>
      <c r="M75" t="s">
        <v>454</v>
      </c>
      <c r="N75" t="str">
        <f>"668.4/197"</f>
        <v>668.4/197</v>
      </c>
      <c r="P75" t="b">
        <v>0</v>
      </c>
      <c r="R75" t="str">
        <f>"9781569905265"</f>
        <v>9781569905265</v>
      </c>
      <c r="S75" t="str">
        <f>"9781569905425"</f>
        <v>9781569905425</v>
      </c>
      <c r="T75">
        <v>855052813</v>
      </c>
    </row>
    <row r="76" spans="1:20" x14ac:dyDescent="0.25">
      <c r="A76">
        <v>1628210</v>
      </c>
      <c r="B76" t="s">
        <v>455</v>
      </c>
      <c r="D76" t="s">
        <v>302</v>
      </c>
      <c r="E76" t="s">
        <v>302</v>
      </c>
      <c r="F76">
        <v>2014</v>
      </c>
      <c r="G76" t="s">
        <v>303</v>
      </c>
      <c r="H76" t="s">
        <v>312</v>
      </c>
      <c r="I76" t="s">
        <v>456</v>
      </c>
      <c r="J76" t="s">
        <v>26</v>
      </c>
      <c r="K76" t="s">
        <v>27</v>
      </c>
      <c r="L76" t="b">
        <v>1</v>
      </c>
      <c r="M76" t="s">
        <v>457</v>
      </c>
      <c r="N76" t="str">
        <f>"668.4/13"</f>
        <v>668.4/13</v>
      </c>
      <c r="P76" t="b">
        <v>0</v>
      </c>
      <c r="R76" t="str">
        <f>"9781569905166"</f>
        <v>9781569905166</v>
      </c>
      <c r="S76" t="str">
        <f>"9781569905395"</f>
        <v>9781569905395</v>
      </c>
      <c r="T76">
        <v>880900431</v>
      </c>
    </row>
    <row r="77" spans="1:20" x14ac:dyDescent="0.25">
      <c r="A77">
        <v>1628117</v>
      </c>
      <c r="B77" t="s">
        <v>458</v>
      </c>
      <c r="C77" t="s">
        <v>459</v>
      </c>
      <c r="D77" t="s">
        <v>302</v>
      </c>
      <c r="E77" t="s">
        <v>302</v>
      </c>
      <c r="F77">
        <v>2015</v>
      </c>
      <c r="G77" t="s">
        <v>322</v>
      </c>
      <c r="H77" t="s">
        <v>460</v>
      </c>
      <c r="I77" t="s">
        <v>461</v>
      </c>
      <c r="J77" t="s">
        <v>26</v>
      </c>
      <c r="K77" t="s">
        <v>27</v>
      </c>
      <c r="L77" t="b">
        <v>1</v>
      </c>
      <c r="M77" t="s">
        <v>462</v>
      </c>
      <c r="N77" t="str">
        <f>"658.155"</f>
        <v>658.155</v>
      </c>
      <c r="P77" t="b">
        <v>0</v>
      </c>
      <c r="R77" t="str">
        <f>"9783446445734"</f>
        <v>9783446445734</v>
      </c>
      <c r="S77" t="str">
        <f>"9783446447264"</f>
        <v>9783446447264</v>
      </c>
      <c r="T77">
        <v>969788051</v>
      </c>
    </row>
    <row r="78" spans="1:20" x14ac:dyDescent="0.25">
      <c r="A78">
        <v>1628025</v>
      </c>
      <c r="B78" t="s">
        <v>463</v>
      </c>
      <c r="C78" t="s">
        <v>464</v>
      </c>
      <c r="D78" t="s">
        <v>302</v>
      </c>
      <c r="E78" t="s">
        <v>302</v>
      </c>
      <c r="F78">
        <v>2013</v>
      </c>
      <c r="G78" t="s">
        <v>322</v>
      </c>
      <c r="H78" t="s">
        <v>465</v>
      </c>
      <c r="I78" t="s">
        <v>466</v>
      </c>
      <c r="J78" t="s">
        <v>26</v>
      </c>
      <c r="K78" t="s">
        <v>27</v>
      </c>
      <c r="L78" t="b">
        <v>1</v>
      </c>
      <c r="M78" t="s">
        <v>467</v>
      </c>
      <c r="N78" t="str">
        <f>"658.5"</f>
        <v>658.5</v>
      </c>
      <c r="P78" t="b">
        <v>0</v>
      </c>
      <c r="R78" t="str">
        <f>"9783446438033"</f>
        <v>9783446438033</v>
      </c>
      <c r="S78" t="str">
        <f>"9783446437937"</f>
        <v>9783446437937</v>
      </c>
      <c r="T78">
        <v>862962225</v>
      </c>
    </row>
    <row r="79" spans="1:20" x14ac:dyDescent="0.25">
      <c r="A79">
        <v>1627978</v>
      </c>
      <c r="B79" t="s">
        <v>468</v>
      </c>
      <c r="C79" t="s">
        <v>469</v>
      </c>
      <c r="D79" t="s">
        <v>302</v>
      </c>
      <c r="E79" t="s">
        <v>302</v>
      </c>
      <c r="F79">
        <v>2012</v>
      </c>
      <c r="G79" t="s">
        <v>334</v>
      </c>
      <c r="H79" t="s">
        <v>470</v>
      </c>
      <c r="I79" t="s">
        <v>471</v>
      </c>
      <c r="J79" t="s">
        <v>26</v>
      </c>
      <c r="K79" t="s">
        <v>27</v>
      </c>
      <c r="L79" t="b">
        <v>1</v>
      </c>
      <c r="M79" t="s">
        <v>472</v>
      </c>
      <c r="N79" t="str">
        <f>"620.001171"</f>
        <v>620.001171</v>
      </c>
      <c r="P79" t="b">
        <v>0</v>
      </c>
      <c r="R79" t="str">
        <f>"9783446433540"</f>
        <v>9783446433540</v>
      </c>
      <c r="S79" t="str">
        <f>"9783446434127"</f>
        <v>9783446434127</v>
      </c>
      <c r="T79">
        <v>1011587314</v>
      </c>
    </row>
    <row r="80" spans="1:20" x14ac:dyDescent="0.25">
      <c r="A80">
        <v>1625575</v>
      </c>
      <c r="B80" t="s">
        <v>473</v>
      </c>
      <c r="C80" t="s">
        <v>474</v>
      </c>
      <c r="D80" t="s">
        <v>255</v>
      </c>
      <c r="E80" t="s">
        <v>256</v>
      </c>
      <c r="F80">
        <v>2017</v>
      </c>
      <c r="G80" t="s">
        <v>475</v>
      </c>
      <c r="H80" t="s">
        <v>476</v>
      </c>
      <c r="I80" t="s">
        <v>477</v>
      </c>
      <c r="J80" t="s">
        <v>26</v>
      </c>
      <c r="K80" t="s">
        <v>86</v>
      </c>
      <c r="L80" t="b">
        <v>1</v>
      </c>
      <c r="M80" t="s">
        <v>478</v>
      </c>
      <c r="N80" t="str">
        <f>"320.993"</f>
        <v>320.993</v>
      </c>
      <c r="P80" t="b">
        <v>0</v>
      </c>
      <c r="S80" t="str">
        <f>"9781775589631"</f>
        <v>9781775589631</v>
      </c>
      <c r="T80">
        <v>1009274897</v>
      </c>
    </row>
    <row r="81" spans="1:20" x14ac:dyDescent="0.25">
      <c r="A81">
        <v>1616838</v>
      </c>
      <c r="B81" t="s">
        <v>479</v>
      </c>
      <c r="C81" t="s">
        <v>480</v>
      </c>
      <c r="D81" t="s">
        <v>255</v>
      </c>
      <c r="E81" t="s">
        <v>256</v>
      </c>
      <c r="F81">
        <v>2017</v>
      </c>
      <c r="G81" t="s">
        <v>481</v>
      </c>
      <c r="H81" t="s">
        <v>482</v>
      </c>
      <c r="I81" t="s">
        <v>483</v>
      </c>
      <c r="J81" t="s">
        <v>26</v>
      </c>
      <c r="K81" t="s">
        <v>86</v>
      </c>
      <c r="L81" t="b">
        <v>1</v>
      </c>
      <c r="M81" t="s">
        <v>484</v>
      </c>
      <c r="N81" t="str">
        <f>"306.09930904"</f>
        <v>306.09930904</v>
      </c>
      <c r="P81" t="b">
        <v>0</v>
      </c>
      <c r="S81" t="str">
        <f>"9781775589556"</f>
        <v>9781775589556</v>
      </c>
      <c r="T81">
        <v>1006879357</v>
      </c>
    </row>
    <row r="82" spans="1:20" x14ac:dyDescent="0.25">
      <c r="A82">
        <v>1606700</v>
      </c>
      <c r="B82" t="s">
        <v>485</v>
      </c>
      <c r="C82" t="s">
        <v>486</v>
      </c>
      <c r="D82" t="s">
        <v>487</v>
      </c>
      <c r="E82" t="s">
        <v>488</v>
      </c>
      <c r="F82">
        <v>2017</v>
      </c>
      <c r="G82" t="s">
        <v>489</v>
      </c>
      <c r="H82" t="s">
        <v>490</v>
      </c>
      <c r="J82" t="s">
        <v>26</v>
      </c>
      <c r="K82" t="s">
        <v>27</v>
      </c>
      <c r="L82" t="b">
        <v>1</v>
      </c>
      <c r="M82" t="s">
        <v>491</v>
      </c>
      <c r="N82" t="str">
        <f>"842/.3"</f>
        <v>842/.3</v>
      </c>
      <c r="O82" t="s">
        <v>492</v>
      </c>
      <c r="P82" t="b">
        <v>1</v>
      </c>
      <c r="Q82" t="b">
        <v>0</v>
      </c>
      <c r="R82" t="str">
        <f>"9781781886328"</f>
        <v>9781781886328</v>
      </c>
      <c r="S82" t="str">
        <f>"9781781886342"</f>
        <v>9781781886342</v>
      </c>
      <c r="T82">
        <v>1080638464</v>
      </c>
    </row>
    <row r="83" spans="1:20" x14ac:dyDescent="0.25">
      <c r="A83">
        <v>1606699</v>
      </c>
      <c r="B83" t="s">
        <v>493</v>
      </c>
      <c r="D83" t="s">
        <v>487</v>
      </c>
      <c r="E83" t="s">
        <v>488</v>
      </c>
      <c r="F83">
        <v>2017</v>
      </c>
      <c r="G83" t="s">
        <v>494</v>
      </c>
      <c r="H83" t="s">
        <v>495</v>
      </c>
      <c r="I83" t="s">
        <v>496</v>
      </c>
      <c r="J83" t="s">
        <v>26</v>
      </c>
      <c r="K83" t="s">
        <v>27</v>
      </c>
      <c r="L83" t="b">
        <v>1</v>
      </c>
      <c r="M83" t="s">
        <v>497</v>
      </c>
      <c r="N83" t="str">
        <f>"883.01"</f>
        <v>883.01</v>
      </c>
      <c r="O83" t="s">
        <v>498</v>
      </c>
      <c r="P83" t="b">
        <v>1</v>
      </c>
      <c r="Q83" t="b">
        <v>0</v>
      </c>
      <c r="R83" t="str">
        <f>"9781781881187"</f>
        <v>9781781881187</v>
      </c>
      <c r="S83" t="str">
        <f>"9781781887646"</f>
        <v>9781781887646</v>
      </c>
      <c r="T83">
        <v>1080637593</v>
      </c>
    </row>
    <row r="84" spans="1:20" x14ac:dyDescent="0.25">
      <c r="A84">
        <v>1606698</v>
      </c>
      <c r="B84" t="s">
        <v>499</v>
      </c>
      <c r="C84" t="s">
        <v>500</v>
      </c>
      <c r="D84" t="s">
        <v>487</v>
      </c>
      <c r="E84" t="s">
        <v>488</v>
      </c>
      <c r="F84">
        <v>2017</v>
      </c>
      <c r="G84" t="s">
        <v>501</v>
      </c>
      <c r="H84" t="s">
        <v>502</v>
      </c>
      <c r="J84" t="s">
        <v>503</v>
      </c>
      <c r="K84" t="s">
        <v>27</v>
      </c>
      <c r="L84" t="b">
        <v>1</v>
      </c>
      <c r="M84" t="s">
        <v>504</v>
      </c>
      <c r="N84" t="str">
        <f>"841.6"</f>
        <v>841.6</v>
      </c>
      <c r="O84" t="s">
        <v>505</v>
      </c>
      <c r="P84" t="b">
        <v>0</v>
      </c>
      <c r="Q84" t="b">
        <v>0</v>
      </c>
      <c r="R84" t="str">
        <f>"9781781886052"</f>
        <v>9781781886052</v>
      </c>
      <c r="S84" t="str">
        <f>"9781781887660"</f>
        <v>9781781887660</v>
      </c>
      <c r="T84">
        <v>1080638119</v>
      </c>
    </row>
    <row r="85" spans="1:20" x14ac:dyDescent="0.25">
      <c r="A85">
        <v>1601348</v>
      </c>
      <c r="B85" t="s">
        <v>506</v>
      </c>
      <c r="C85" t="s">
        <v>507</v>
      </c>
      <c r="D85" t="s">
        <v>203</v>
      </c>
      <c r="E85" t="s">
        <v>508</v>
      </c>
      <c r="F85">
        <v>2017</v>
      </c>
      <c r="G85" t="s">
        <v>509</v>
      </c>
      <c r="H85" t="s">
        <v>510</v>
      </c>
      <c r="I85" t="s">
        <v>511</v>
      </c>
      <c r="J85" t="s">
        <v>512</v>
      </c>
      <c r="K85" t="s">
        <v>48</v>
      </c>
      <c r="L85" t="b">
        <v>1</v>
      </c>
      <c r="M85" t="s">
        <v>513</v>
      </c>
      <c r="N85" t="str">
        <f>"618.92891656"</f>
        <v>618.92891656</v>
      </c>
      <c r="P85" t="b">
        <v>0</v>
      </c>
      <c r="S85" t="str">
        <f>"9789972453625"</f>
        <v>9789972453625</v>
      </c>
      <c r="T85">
        <v>995777969</v>
      </c>
    </row>
    <row r="86" spans="1:20" x14ac:dyDescent="0.25">
      <c r="A86">
        <v>1601347</v>
      </c>
      <c r="B86" t="s">
        <v>514</v>
      </c>
      <c r="D86" t="s">
        <v>203</v>
      </c>
      <c r="E86" t="s">
        <v>508</v>
      </c>
      <c r="F86">
        <v>2017</v>
      </c>
      <c r="G86" t="s">
        <v>509</v>
      </c>
      <c r="H86" t="s">
        <v>515</v>
      </c>
      <c r="I86" t="s">
        <v>516</v>
      </c>
      <c r="J86" t="s">
        <v>512</v>
      </c>
      <c r="K86" t="s">
        <v>48</v>
      </c>
      <c r="L86" t="b">
        <v>1</v>
      </c>
      <c r="M86" t="s">
        <v>517</v>
      </c>
      <c r="N86" t="str">
        <f>"410"</f>
        <v>410</v>
      </c>
      <c r="P86" t="b">
        <v>1</v>
      </c>
      <c r="S86" t="str">
        <f>"9789972453618"</f>
        <v>9789972453618</v>
      </c>
      <c r="T86">
        <v>995775906</v>
      </c>
    </row>
    <row r="87" spans="1:20" x14ac:dyDescent="0.25">
      <c r="A87">
        <v>1601346</v>
      </c>
      <c r="B87" t="s">
        <v>518</v>
      </c>
      <c r="D87" t="s">
        <v>203</v>
      </c>
      <c r="E87" t="s">
        <v>508</v>
      </c>
      <c r="F87">
        <v>2016</v>
      </c>
      <c r="G87" t="s">
        <v>519</v>
      </c>
      <c r="H87" t="s">
        <v>520</v>
      </c>
      <c r="I87" t="s">
        <v>521</v>
      </c>
      <c r="J87" t="s">
        <v>512</v>
      </c>
      <c r="K87" t="s">
        <v>48</v>
      </c>
      <c r="L87" t="b">
        <v>1</v>
      </c>
      <c r="M87" t="s">
        <v>522</v>
      </c>
      <c r="N87" t="str">
        <f>"702.85"</f>
        <v>702.85</v>
      </c>
      <c r="P87" t="b">
        <v>0</v>
      </c>
      <c r="S87" t="str">
        <f>"9789972453601"</f>
        <v>9789972453601</v>
      </c>
      <c r="T87">
        <v>995770938</v>
      </c>
    </row>
    <row r="88" spans="1:20" x14ac:dyDescent="0.25">
      <c r="A88">
        <v>1601345</v>
      </c>
      <c r="B88" t="s">
        <v>523</v>
      </c>
      <c r="C88" t="s">
        <v>524</v>
      </c>
      <c r="D88" t="s">
        <v>203</v>
      </c>
      <c r="E88" t="s">
        <v>508</v>
      </c>
      <c r="F88">
        <v>2016</v>
      </c>
      <c r="G88" t="s">
        <v>509</v>
      </c>
      <c r="H88" t="s">
        <v>525</v>
      </c>
      <c r="I88" t="s">
        <v>526</v>
      </c>
      <c r="J88" t="s">
        <v>512</v>
      </c>
      <c r="K88" t="s">
        <v>48</v>
      </c>
      <c r="L88" t="b">
        <v>1</v>
      </c>
      <c r="M88" t="s">
        <v>527</v>
      </c>
      <c r="N88" t="str">
        <f>"324.7"</f>
        <v>324.7</v>
      </c>
      <c r="P88" t="b">
        <v>0</v>
      </c>
      <c r="S88" t="str">
        <f>"9789972453595"</f>
        <v>9789972453595</v>
      </c>
      <c r="T88">
        <v>995774449</v>
      </c>
    </row>
    <row r="89" spans="1:20" x14ac:dyDescent="0.25">
      <c r="A89">
        <v>1601344</v>
      </c>
      <c r="B89" t="s">
        <v>528</v>
      </c>
      <c r="C89" t="s">
        <v>529</v>
      </c>
      <c r="D89" t="s">
        <v>203</v>
      </c>
      <c r="E89" t="s">
        <v>508</v>
      </c>
      <c r="F89">
        <v>2017</v>
      </c>
      <c r="G89" t="s">
        <v>530</v>
      </c>
      <c r="H89" t="s">
        <v>531</v>
      </c>
      <c r="I89" t="s">
        <v>532</v>
      </c>
      <c r="J89" t="s">
        <v>512</v>
      </c>
      <c r="K89" t="s">
        <v>48</v>
      </c>
      <c r="L89" t="b">
        <v>1</v>
      </c>
      <c r="M89" t="s">
        <v>533</v>
      </c>
      <c r="N89" t="str">
        <f>"658.4/012098"</f>
        <v>658.4/012098</v>
      </c>
      <c r="P89" t="b">
        <v>0</v>
      </c>
      <c r="S89" t="str">
        <f>"9789972453571"</f>
        <v>9789972453571</v>
      </c>
      <c r="T89">
        <v>995769631</v>
      </c>
    </row>
    <row r="90" spans="1:20" x14ac:dyDescent="0.25">
      <c r="A90">
        <v>1601343</v>
      </c>
      <c r="B90" t="s">
        <v>534</v>
      </c>
      <c r="D90" t="s">
        <v>203</v>
      </c>
      <c r="E90" t="s">
        <v>508</v>
      </c>
      <c r="F90">
        <v>2017</v>
      </c>
      <c r="G90" t="s">
        <v>535</v>
      </c>
      <c r="H90" t="s">
        <v>536</v>
      </c>
      <c r="I90" t="s">
        <v>537</v>
      </c>
      <c r="J90" t="s">
        <v>512</v>
      </c>
      <c r="K90" t="s">
        <v>48</v>
      </c>
      <c r="L90" t="b">
        <v>1</v>
      </c>
      <c r="M90" t="s">
        <v>538</v>
      </c>
      <c r="N90" t="str">
        <f>"519.5"</f>
        <v>519.5</v>
      </c>
      <c r="P90" t="b">
        <v>0</v>
      </c>
      <c r="S90" t="str">
        <f>"9789972453564"</f>
        <v>9789972453564</v>
      </c>
      <c r="T90">
        <v>995760883</v>
      </c>
    </row>
    <row r="91" spans="1:20" x14ac:dyDescent="0.25">
      <c r="A91">
        <v>1601341</v>
      </c>
      <c r="B91" t="s">
        <v>539</v>
      </c>
      <c r="D91" t="s">
        <v>203</v>
      </c>
      <c r="E91" t="s">
        <v>508</v>
      </c>
      <c r="F91">
        <v>2017</v>
      </c>
      <c r="G91" t="s">
        <v>540</v>
      </c>
      <c r="H91" t="s">
        <v>541</v>
      </c>
      <c r="I91" t="s">
        <v>542</v>
      </c>
      <c r="J91" t="s">
        <v>512</v>
      </c>
      <c r="K91" t="s">
        <v>48</v>
      </c>
      <c r="L91" t="b">
        <v>1</v>
      </c>
      <c r="M91" t="s">
        <v>543</v>
      </c>
      <c r="N91" t="str">
        <f>"629.253"</f>
        <v>629.253</v>
      </c>
      <c r="P91" t="b">
        <v>0</v>
      </c>
      <c r="S91" t="str">
        <f>"9789972453540"</f>
        <v>9789972453540</v>
      </c>
      <c r="T91">
        <v>995778768</v>
      </c>
    </row>
    <row r="92" spans="1:20" x14ac:dyDescent="0.25">
      <c r="A92">
        <v>1595304</v>
      </c>
      <c r="B92" t="s">
        <v>544</v>
      </c>
      <c r="C92" t="s">
        <v>545</v>
      </c>
      <c r="D92" t="s">
        <v>255</v>
      </c>
      <c r="E92" t="s">
        <v>256</v>
      </c>
      <c r="F92">
        <v>2017</v>
      </c>
      <c r="G92" t="s">
        <v>546</v>
      </c>
      <c r="H92" t="s">
        <v>547</v>
      </c>
      <c r="I92" t="s">
        <v>548</v>
      </c>
      <c r="J92" t="s">
        <v>26</v>
      </c>
      <c r="K92" t="s">
        <v>86</v>
      </c>
      <c r="L92" t="b">
        <v>1</v>
      </c>
      <c r="M92" t="s">
        <v>549</v>
      </c>
      <c r="N92" t="str">
        <f>"821.914"</f>
        <v>821.914</v>
      </c>
      <c r="P92" t="b">
        <v>0</v>
      </c>
      <c r="S92" t="str">
        <f>"9781775588702"</f>
        <v>9781775588702</v>
      </c>
      <c r="T92">
        <v>1003086207</v>
      </c>
    </row>
    <row r="93" spans="1:20" x14ac:dyDescent="0.25">
      <c r="A93">
        <v>1594310</v>
      </c>
      <c r="B93" t="s">
        <v>550</v>
      </c>
      <c r="C93" t="s">
        <v>551</v>
      </c>
      <c r="D93" t="s">
        <v>131</v>
      </c>
      <c r="E93" t="s">
        <v>552</v>
      </c>
      <c r="F93">
        <v>2017</v>
      </c>
      <c r="G93" t="s">
        <v>553</v>
      </c>
      <c r="H93" t="s">
        <v>554</v>
      </c>
      <c r="I93" t="s">
        <v>555</v>
      </c>
      <c r="J93" t="s">
        <v>26</v>
      </c>
      <c r="K93" t="s">
        <v>86</v>
      </c>
      <c r="L93" t="b">
        <v>1</v>
      </c>
      <c r="M93" t="s">
        <v>556</v>
      </c>
      <c r="N93" t="str">
        <f>"956.9"</f>
        <v>956.9</v>
      </c>
      <c r="P93" t="b">
        <v>0</v>
      </c>
      <c r="R93" t="str">
        <f>"9781851685875"</f>
        <v>9781851685875</v>
      </c>
      <c r="S93" t="str">
        <f>"9781780744339"</f>
        <v>9781780744339</v>
      </c>
      <c r="T93">
        <v>989704178</v>
      </c>
    </row>
    <row r="94" spans="1:20" x14ac:dyDescent="0.25">
      <c r="A94">
        <v>1594095</v>
      </c>
      <c r="B94" t="s">
        <v>557</v>
      </c>
      <c r="D94" t="s">
        <v>131</v>
      </c>
      <c r="E94" t="s">
        <v>552</v>
      </c>
      <c r="F94">
        <v>2016</v>
      </c>
      <c r="G94" t="s">
        <v>558</v>
      </c>
      <c r="H94" t="s">
        <v>559</v>
      </c>
      <c r="I94" t="s">
        <v>560</v>
      </c>
      <c r="J94" t="s">
        <v>26</v>
      </c>
      <c r="K94" t="s">
        <v>86</v>
      </c>
      <c r="L94" t="b">
        <v>1</v>
      </c>
      <c r="M94" t="s">
        <v>561</v>
      </c>
      <c r="N94" t="str">
        <f>"956"</f>
        <v>956</v>
      </c>
      <c r="O94" t="s">
        <v>562</v>
      </c>
      <c r="P94" t="b">
        <v>0</v>
      </c>
      <c r="R94" t="str">
        <f>"9781780749419"</f>
        <v>9781780749419</v>
      </c>
      <c r="S94" t="str">
        <f>"9781780749426"</f>
        <v>9781780749426</v>
      </c>
      <c r="T94">
        <v>966017139</v>
      </c>
    </row>
    <row r="95" spans="1:20" x14ac:dyDescent="0.25">
      <c r="A95">
        <v>1594080</v>
      </c>
      <c r="B95" t="s">
        <v>563</v>
      </c>
      <c r="D95" t="s">
        <v>131</v>
      </c>
      <c r="E95" t="s">
        <v>552</v>
      </c>
      <c r="F95">
        <v>2017</v>
      </c>
      <c r="G95" t="s">
        <v>564</v>
      </c>
      <c r="H95" t="s">
        <v>565</v>
      </c>
      <c r="I95" t="s">
        <v>566</v>
      </c>
      <c r="J95" t="s">
        <v>26</v>
      </c>
      <c r="K95" t="s">
        <v>86</v>
      </c>
      <c r="L95" t="b">
        <v>1</v>
      </c>
      <c r="M95" t="s">
        <v>567</v>
      </c>
      <c r="N95" t="str">
        <f>"947/.0842/092"</f>
        <v>947/.0842/092</v>
      </c>
      <c r="O95" t="s">
        <v>568</v>
      </c>
      <c r="P95" t="b">
        <v>0</v>
      </c>
      <c r="R95" t="str">
        <f>"9781780749136"</f>
        <v>9781780749136</v>
      </c>
      <c r="S95" t="str">
        <f>"9781780749143"</f>
        <v>9781780749143</v>
      </c>
      <c r="T95">
        <v>962411806</v>
      </c>
    </row>
    <row r="96" spans="1:20" x14ac:dyDescent="0.25">
      <c r="A96">
        <v>1593994</v>
      </c>
      <c r="B96" t="s">
        <v>569</v>
      </c>
      <c r="C96" t="s">
        <v>570</v>
      </c>
      <c r="D96" t="s">
        <v>203</v>
      </c>
      <c r="E96" t="s">
        <v>508</v>
      </c>
      <c r="F96">
        <v>2017</v>
      </c>
      <c r="G96" t="s">
        <v>571</v>
      </c>
      <c r="H96" t="s">
        <v>572</v>
      </c>
      <c r="I96" t="s">
        <v>573</v>
      </c>
      <c r="J96" t="s">
        <v>512</v>
      </c>
      <c r="K96" t="s">
        <v>48</v>
      </c>
      <c r="L96" t="b">
        <v>1</v>
      </c>
      <c r="M96" t="s">
        <v>574</v>
      </c>
      <c r="N96" t="str">
        <f>"303.372"</f>
        <v>303.372</v>
      </c>
      <c r="P96" t="b">
        <v>0</v>
      </c>
      <c r="S96" t="str">
        <f>"9789972453809"</f>
        <v>9789972453809</v>
      </c>
      <c r="T96">
        <v>995766428</v>
      </c>
    </row>
    <row r="97" spans="1:20" x14ac:dyDescent="0.25">
      <c r="A97">
        <v>1593993</v>
      </c>
      <c r="B97" t="s">
        <v>575</v>
      </c>
      <c r="C97" t="s">
        <v>576</v>
      </c>
      <c r="D97" t="s">
        <v>203</v>
      </c>
      <c r="E97" t="s">
        <v>508</v>
      </c>
      <c r="F97">
        <v>2017</v>
      </c>
      <c r="G97" t="s">
        <v>577</v>
      </c>
      <c r="H97" t="s">
        <v>578</v>
      </c>
      <c r="I97" t="s">
        <v>579</v>
      </c>
      <c r="J97" t="s">
        <v>512</v>
      </c>
      <c r="K97" t="s">
        <v>48</v>
      </c>
      <c r="L97" t="b">
        <v>1</v>
      </c>
      <c r="M97" t="s">
        <v>580</v>
      </c>
      <c r="N97" t="str">
        <f>"861.6"</f>
        <v>861.6</v>
      </c>
      <c r="O97" t="s">
        <v>581</v>
      </c>
      <c r="P97" t="b">
        <v>0</v>
      </c>
      <c r="S97" t="str">
        <f>"9789972453793"</f>
        <v>9789972453793</v>
      </c>
      <c r="T97">
        <v>1046678498</v>
      </c>
    </row>
    <row r="98" spans="1:20" x14ac:dyDescent="0.25">
      <c r="A98">
        <v>1593992</v>
      </c>
      <c r="B98" t="s">
        <v>582</v>
      </c>
      <c r="D98" t="s">
        <v>203</v>
      </c>
      <c r="E98" t="s">
        <v>508</v>
      </c>
      <c r="F98">
        <v>2017</v>
      </c>
      <c r="G98" t="s">
        <v>509</v>
      </c>
      <c r="H98" t="s">
        <v>583</v>
      </c>
      <c r="I98" t="s">
        <v>584</v>
      </c>
      <c r="J98" t="s">
        <v>512</v>
      </c>
      <c r="K98" t="s">
        <v>48</v>
      </c>
      <c r="L98" t="b">
        <v>1</v>
      </c>
      <c r="M98" t="s">
        <v>585</v>
      </c>
      <c r="N98" t="str">
        <f>"401.41"</f>
        <v>401.41</v>
      </c>
      <c r="P98" t="b">
        <v>0</v>
      </c>
      <c r="S98" t="str">
        <f>"9789972453779"</f>
        <v>9789972453779</v>
      </c>
      <c r="T98">
        <v>995765192</v>
      </c>
    </row>
    <row r="99" spans="1:20" x14ac:dyDescent="0.25">
      <c r="A99">
        <v>1593991</v>
      </c>
      <c r="B99" t="s">
        <v>586</v>
      </c>
      <c r="C99" t="s">
        <v>587</v>
      </c>
      <c r="D99" t="s">
        <v>203</v>
      </c>
      <c r="E99" t="s">
        <v>508</v>
      </c>
      <c r="F99">
        <v>2017</v>
      </c>
      <c r="G99" t="s">
        <v>509</v>
      </c>
      <c r="H99" t="s">
        <v>588</v>
      </c>
      <c r="I99" t="s">
        <v>589</v>
      </c>
      <c r="J99" t="s">
        <v>512</v>
      </c>
      <c r="K99" t="s">
        <v>48</v>
      </c>
      <c r="L99" t="b">
        <v>1</v>
      </c>
      <c r="M99" t="s">
        <v>590</v>
      </c>
      <c r="N99" t="str">
        <f>"410"</f>
        <v>410</v>
      </c>
      <c r="P99" t="b">
        <v>0</v>
      </c>
      <c r="S99" t="str">
        <f>"9789972453755"</f>
        <v>9789972453755</v>
      </c>
      <c r="T99">
        <v>995778359</v>
      </c>
    </row>
    <row r="100" spans="1:20" x14ac:dyDescent="0.25">
      <c r="A100">
        <v>1593990</v>
      </c>
      <c r="B100" t="s">
        <v>591</v>
      </c>
      <c r="D100" t="s">
        <v>203</v>
      </c>
      <c r="E100" t="s">
        <v>508</v>
      </c>
      <c r="F100">
        <v>2017</v>
      </c>
      <c r="G100" t="s">
        <v>509</v>
      </c>
      <c r="H100" t="s">
        <v>592</v>
      </c>
      <c r="I100" t="s">
        <v>593</v>
      </c>
      <c r="J100" t="s">
        <v>512</v>
      </c>
      <c r="K100" t="s">
        <v>48</v>
      </c>
      <c r="L100" t="b">
        <v>1</v>
      </c>
      <c r="M100" t="s">
        <v>594</v>
      </c>
      <c r="N100" t="str">
        <f>"302.2"</f>
        <v>302.2</v>
      </c>
      <c r="P100" t="b">
        <v>0</v>
      </c>
      <c r="S100" t="str">
        <f>"9789972453731"</f>
        <v>9789972453731</v>
      </c>
      <c r="T100">
        <v>995775511</v>
      </c>
    </row>
    <row r="101" spans="1:20" x14ac:dyDescent="0.25">
      <c r="A101">
        <v>1593989</v>
      </c>
      <c r="B101" t="s">
        <v>595</v>
      </c>
      <c r="D101" t="s">
        <v>203</v>
      </c>
      <c r="E101" t="s">
        <v>508</v>
      </c>
      <c r="F101">
        <v>2016</v>
      </c>
      <c r="G101" t="s">
        <v>509</v>
      </c>
      <c r="H101" t="s">
        <v>596</v>
      </c>
      <c r="I101" t="s">
        <v>597</v>
      </c>
      <c r="J101" t="s">
        <v>512</v>
      </c>
      <c r="K101" t="s">
        <v>48</v>
      </c>
      <c r="L101" t="b">
        <v>1</v>
      </c>
      <c r="M101" t="s">
        <v>598</v>
      </c>
      <c r="N101" t="str">
        <f>"401/.41"</f>
        <v>401/.41</v>
      </c>
      <c r="P101" t="b">
        <v>0</v>
      </c>
      <c r="S101" t="str">
        <f>"9789972453724"</f>
        <v>9789972453724</v>
      </c>
      <c r="T101">
        <v>995760918</v>
      </c>
    </row>
    <row r="102" spans="1:20" x14ac:dyDescent="0.25">
      <c r="A102">
        <v>1593988</v>
      </c>
      <c r="B102" t="s">
        <v>599</v>
      </c>
      <c r="C102" t="s">
        <v>600</v>
      </c>
      <c r="D102" t="s">
        <v>203</v>
      </c>
      <c r="E102" t="s">
        <v>508</v>
      </c>
      <c r="F102">
        <v>2017</v>
      </c>
      <c r="G102" t="s">
        <v>509</v>
      </c>
      <c r="H102" t="s">
        <v>515</v>
      </c>
      <c r="I102" t="s">
        <v>601</v>
      </c>
      <c r="J102" t="s">
        <v>512</v>
      </c>
      <c r="K102" t="s">
        <v>48</v>
      </c>
      <c r="L102" t="b">
        <v>1</v>
      </c>
      <c r="M102" t="s">
        <v>602</v>
      </c>
      <c r="N102" t="str">
        <f>"401.41"</f>
        <v>401.41</v>
      </c>
      <c r="P102" t="b">
        <v>0</v>
      </c>
      <c r="S102" t="str">
        <f>"9789972453717"</f>
        <v>9789972453717</v>
      </c>
      <c r="T102">
        <v>995782200</v>
      </c>
    </row>
    <row r="103" spans="1:20" x14ac:dyDescent="0.25">
      <c r="A103">
        <v>1593987</v>
      </c>
      <c r="B103" t="s">
        <v>603</v>
      </c>
      <c r="C103" t="s">
        <v>604</v>
      </c>
      <c r="D103" t="s">
        <v>203</v>
      </c>
      <c r="E103" t="s">
        <v>508</v>
      </c>
      <c r="F103">
        <v>2016</v>
      </c>
      <c r="G103" t="s">
        <v>605</v>
      </c>
      <c r="H103" t="s">
        <v>606</v>
      </c>
      <c r="I103" t="s">
        <v>607</v>
      </c>
      <c r="J103" t="s">
        <v>512</v>
      </c>
      <c r="K103" t="s">
        <v>48</v>
      </c>
      <c r="L103" t="b">
        <v>1</v>
      </c>
      <c r="M103" t="s">
        <v>608</v>
      </c>
      <c r="N103" t="str">
        <f>"305.9/0904"</f>
        <v>305.9/0904</v>
      </c>
      <c r="P103" t="b">
        <v>0</v>
      </c>
      <c r="S103" t="str">
        <f>"9789972453700"</f>
        <v>9789972453700</v>
      </c>
      <c r="T103">
        <v>995760835</v>
      </c>
    </row>
    <row r="104" spans="1:20" x14ac:dyDescent="0.25">
      <c r="A104">
        <v>1593986</v>
      </c>
      <c r="B104" t="s">
        <v>609</v>
      </c>
      <c r="C104" t="s">
        <v>610</v>
      </c>
      <c r="D104" t="s">
        <v>203</v>
      </c>
      <c r="E104" t="s">
        <v>508</v>
      </c>
      <c r="F104">
        <v>2016</v>
      </c>
      <c r="G104" t="s">
        <v>611</v>
      </c>
      <c r="H104" t="s">
        <v>612</v>
      </c>
      <c r="I104" t="s">
        <v>613</v>
      </c>
      <c r="J104" t="s">
        <v>512</v>
      </c>
      <c r="K104" t="s">
        <v>48</v>
      </c>
      <c r="L104" t="b">
        <v>1</v>
      </c>
      <c r="M104" t="s">
        <v>614</v>
      </c>
      <c r="N104" t="str">
        <f>"149/.97"</f>
        <v>149/.97</v>
      </c>
      <c r="P104" t="b">
        <v>0</v>
      </c>
      <c r="S104" t="str">
        <f>"9789972453694"</f>
        <v>9789972453694</v>
      </c>
      <c r="T104">
        <v>995777303</v>
      </c>
    </row>
    <row r="105" spans="1:20" x14ac:dyDescent="0.25">
      <c r="A105">
        <v>1593984</v>
      </c>
      <c r="B105" t="s">
        <v>615</v>
      </c>
      <c r="C105" t="s">
        <v>616</v>
      </c>
      <c r="D105" t="s">
        <v>203</v>
      </c>
      <c r="E105" t="s">
        <v>508</v>
      </c>
      <c r="F105">
        <v>2017</v>
      </c>
      <c r="G105" t="s">
        <v>182</v>
      </c>
      <c r="H105" t="s">
        <v>617</v>
      </c>
      <c r="I105" t="s">
        <v>618</v>
      </c>
      <c r="J105" t="s">
        <v>512</v>
      </c>
      <c r="K105" t="s">
        <v>48</v>
      </c>
      <c r="L105" t="b">
        <v>1</v>
      </c>
      <c r="M105" t="s">
        <v>619</v>
      </c>
      <c r="N105" t="str">
        <f>"551.220985/09033"</f>
        <v>551.220985/09033</v>
      </c>
      <c r="P105" t="b">
        <v>0</v>
      </c>
      <c r="S105" t="str">
        <f>"9789972453670"</f>
        <v>9789972453670</v>
      </c>
      <c r="T105">
        <v>995770673</v>
      </c>
    </row>
    <row r="106" spans="1:20" x14ac:dyDescent="0.25">
      <c r="A106">
        <v>1593982</v>
      </c>
      <c r="B106" t="s">
        <v>620</v>
      </c>
      <c r="C106" t="s">
        <v>621</v>
      </c>
      <c r="D106" t="s">
        <v>203</v>
      </c>
      <c r="E106" t="s">
        <v>508</v>
      </c>
      <c r="F106">
        <v>2017</v>
      </c>
      <c r="G106" t="s">
        <v>622</v>
      </c>
      <c r="H106" t="s">
        <v>623</v>
      </c>
      <c r="I106" t="s">
        <v>624</v>
      </c>
      <c r="J106" t="s">
        <v>512</v>
      </c>
      <c r="K106" t="s">
        <v>48</v>
      </c>
      <c r="L106" t="b">
        <v>1</v>
      </c>
      <c r="M106" t="s">
        <v>625</v>
      </c>
      <c r="N106" t="str">
        <f>"869.56"</f>
        <v>869.56</v>
      </c>
      <c r="P106" t="b">
        <v>0</v>
      </c>
      <c r="S106" t="str">
        <f>"9789972453656"</f>
        <v>9789972453656</v>
      </c>
      <c r="T106">
        <v>995782037</v>
      </c>
    </row>
    <row r="107" spans="1:20" x14ac:dyDescent="0.25">
      <c r="A107">
        <v>1593981</v>
      </c>
      <c r="B107" t="s">
        <v>626</v>
      </c>
      <c r="D107" t="s">
        <v>203</v>
      </c>
      <c r="E107" t="s">
        <v>508</v>
      </c>
      <c r="F107">
        <v>2016</v>
      </c>
      <c r="G107" t="s">
        <v>622</v>
      </c>
      <c r="H107" t="s">
        <v>627</v>
      </c>
      <c r="I107" t="s">
        <v>628</v>
      </c>
      <c r="J107" t="s">
        <v>512</v>
      </c>
      <c r="K107" t="s">
        <v>48</v>
      </c>
      <c r="L107" t="b">
        <v>1</v>
      </c>
      <c r="M107" t="s">
        <v>629</v>
      </c>
      <c r="N107" t="str">
        <f>"861/.6"</f>
        <v>861/.6</v>
      </c>
      <c r="P107" t="b">
        <v>0</v>
      </c>
      <c r="S107" t="str">
        <f>"9789972453649"</f>
        <v>9789972453649</v>
      </c>
      <c r="T107">
        <v>995765390</v>
      </c>
    </row>
    <row r="108" spans="1:20" x14ac:dyDescent="0.25">
      <c r="A108">
        <v>1593980</v>
      </c>
      <c r="B108" t="s">
        <v>630</v>
      </c>
      <c r="C108" t="s">
        <v>631</v>
      </c>
      <c r="D108" t="s">
        <v>203</v>
      </c>
      <c r="E108" t="s">
        <v>508</v>
      </c>
      <c r="F108">
        <v>2016</v>
      </c>
      <c r="G108" t="s">
        <v>57</v>
      </c>
      <c r="H108" t="s">
        <v>632</v>
      </c>
      <c r="I108" t="s">
        <v>633</v>
      </c>
      <c r="J108" t="s">
        <v>512</v>
      </c>
      <c r="K108" t="s">
        <v>48</v>
      </c>
      <c r="L108" t="b">
        <v>1</v>
      </c>
      <c r="M108" t="s">
        <v>634</v>
      </c>
      <c r="N108" t="str">
        <f>"307.760985/255"</f>
        <v>307.760985/255</v>
      </c>
      <c r="O108" t="s">
        <v>581</v>
      </c>
      <c r="P108" t="b">
        <v>0</v>
      </c>
      <c r="S108" t="str">
        <f>"9789972453632"</f>
        <v>9789972453632</v>
      </c>
      <c r="T108">
        <v>995782189</v>
      </c>
    </row>
    <row r="109" spans="1:20" x14ac:dyDescent="0.25">
      <c r="A109">
        <v>1593964</v>
      </c>
      <c r="B109" t="s">
        <v>635</v>
      </c>
      <c r="C109" t="s">
        <v>636</v>
      </c>
      <c r="D109" t="s">
        <v>203</v>
      </c>
      <c r="E109" t="s">
        <v>637</v>
      </c>
      <c r="F109">
        <v>2017</v>
      </c>
      <c r="G109" t="s">
        <v>638</v>
      </c>
      <c r="H109" t="s">
        <v>639</v>
      </c>
      <c r="I109" t="s">
        <v>640</v>
      </c>
      <c r="J109" t="s">
        <v>26</v>
      </c>
      <c r="K109" t="s">
        <v>48</v>
      </c>
      <c r="L109" t="b">
        <v>1</v>
      </c>
      <c r="M109" t="s">
        <v>641</v>
      </c>
      <c r="N109" t="str">
        <f>"944.081/6"</f>
        <v>944.081/6</v>
      </c>
      <c r="P109" t="b">
        <v>0</v>
      </c>
      <c r="R109" t="str">
        <f>"9781781174876"</f>
        <v>9781781174876</v>
      </c>
      <c r="S109" t="str">
        <f>"9781781174883"</f>
        <v>9781781174883</v>
      </c>
      <c r="T109">
        <v>994778864</v>
      </c>
    </row>
    <row r="110" spans="1:20" x14ac:dyDescent="0.25">
      <c r="A110">
        <v>1593830</v>
      </c>
      <c r="B110" t="s">
        <v>642</v>
      </c>
      <c r="C110" t="s">
        <v>643</v>
      </c>
      <c r="D110" t="s">
        <v>644</v>
      </c>
      <c r="E110" t="s">
        <v>637</v>
      </c>
      <c r="F110">
        <v>2017</v>
      </c>
      <c r="G110" t="s">
        <v>645</v>
      </c>
      <c r="H110" t="s">
        <v>646</v>
      </c>
      <c r="I110" t="s">
        <v>647</v>
      </c>
      <c r="J110" t="s">
        <v>26</v>
      </c>
      <c r="K110" t="s">
        <v>48</v>
      </c>
      <c r="L110" t="b">
        <v>1</v>
      </c>
      <c r="M110" t="s">
        <v>648</v>
      </c>
      <c r="N110" t="str">
        <f>"909"</f>
        <v>909</v>
      </c>
      <c r="P110" t="b">
        <v>0</v>
      </c>
      <c r="R110" t="str">
        <f>"9781781175057"</f>
        <v>9781781175057</v>
      </c>
      <c r="S110" t="str">
        <f>"9781781175064"</f>
        <v>9781781175064</v>
      </c>
      <c r="T110">
        <v>993064225</v>
      </c>
    </row>
    <row r="111" spans="1:20" x14ac:dyDescent="0.25">
      <c r="A111">
        <v>1593136</v>
      </c>
      <c r="B111" t="s">
        <v>649</v>
      </c>
      <c r="D111" t="s">
        <v>22</v>
      </c>
      <c r="E111" t="s">
        <v>22</v>
      </c>
      <c r="F111">
        <v>2017</v>
      </c>
      <c r="G111" t="s">
        <v>63</v>
      </c>
      <c r="H111" t="s">
        <v>650</v>
      </c>
      <c r="I111" t="s">
        <v>651</v>
      </c>
      <c r="J111" t="s">
        <v>26</v>
      </c>
      <c r="K111" t="s">
        <v>27</v>
      </c>
      <c r="L111" t="b">
        <v>1</v>
      </c>
      <c r="M111" t="s">
        <v>652</v>
      </c>
      <c r="N111" t="str">
        <f>"791"</f>
        <v>791</v>
      </c>
      <c r="O111" t="s">
        <v>653</v>
      </c>
      <c r="P111" t="b">
        <v>0</v>
      </c>
      <c r="Q111" t="b">
        <v>0</v>
      </c>
      <c r="R111" t="str">
        <f>"9789089648266"</f>
        <v>9789089648266</v>
      </c>
      <c r="S111" t="str">
        <f>"9789048526741"</f>
        <v>9789048526741</v>
      </c>
      <c r="T111">
        <v>1003641355</v>
      </c>
    </row>
    <row r="112" spans="1:20" x14ac:dyDescent="0.25">
      <c r="A112">
        <v>1593134</v>
      </c>
      <c r="B112" t="s">
        <v>654</v>
      </c>
      <c r="D112" t="s">
        <v>22</v>
      </c>
      <c r="E112" t="s">
        <v>22</v>
      </c>
      <c r="F112">
        <v>2017</v>
      </c>
      <c r="G112" t="s">
        <v>57</v>
      </c>
      <c r="H112" t="s">
        <v>655</v>
      </c>
      <c r="I112" t="s">
        <v>656</v>
      </c>
      <c r="J112" t="s">
        <v>26</v>
      </c>
      <c r="K112" t="s">
        <v>27</v>
      </c>
      <c r="L112" t="b">
        <v>1</v>
      </c>
      <c r="M112" t="s">
        <v>657</v>
      </c>
      <c r="N112" t="str">
        <f>"300"</f>
        <v>300</v>
      </c>
      <c r="O112" t="s">
        <v>29</v>
      </c>
      <c r="P112" t="b">
        <v>0</v>
      </c>
      <c r="Q112" t="b">
        <v>0</v>
      </c>
      <c r="R112" t="str">
        <f>"9789462981362"</f>
        <v>9789462981362</v>
      </c>
      <c r="S112" t="str">
        <f>"9789048531011"</f>
        <v>9789048531011</v>
      </c>
      <c r="T112">
        <v>982244713</v>
      </c>
    </row>
    <row r="113" spans="1:20" x14ac:dyDescent="0.25">
      <c r="A113">
        <v>1593130</v>
      </c>
      <c r="B113" t="s">
        <v>658</v>
      </c>
      <c r="D113" t="s">
        <v>22</v>
      </c>
      <c r="E113" t="s">
        <v>22</v>
      </c>
      <c r="F113">
        <v>2017</v>
      </c>
      <c r="G113" t="s">
        <v>57</v>
      </c>
      <c r="H113" t="s">
        <v>659</v>
      </c>
      <c r="I113" t="s">
        <v>660</v>
      </c>
      <c r="J113" t="s">
        <v>26</v>
      </c>
      <c r="K113" t="s">
        <v>27</v>
      </c>
      <c r="L113" t="b">
        <v>1</v>
      </c>
      <c r="M113" t="s">
        <v>661</v>
      </c>
      <c r="N113" t="str">
        <f>"791"</f>
        <v>791</v>
      </c>
      <c r="O113" t="s">
        <v>141</v>
      </c>
      <c r="P113" t="b">
        <v>0</v>
      </c>
      <c r="Q113" t="b">
        <v>0</v>
      </c>
      <c r="R113" t="str">
        <f>"9789089649959"</f>
        <v>9789089649959</v>
      </c>
      <c r="S113" t="str">
        <f>"9789048529087"</f>
        <v>9789048529087</v>
      </c>
      <c r="T113">
        <v>1003641144</v>
      </c>
    </row>
    <row r="114" spans="1:20" x14ac:dyDescent="0.25">
      <c r="A114">
        <v>1586417</v>
      </c>
      <c r="B114" t="s">
        <v>662</v>
      </c>
      <c r="D114" t="s">
        <v>203</v>
      </c>
      <c r="E114" t="s">
        <v>663</v>
      </c>
      <c r="F114">
        <v>2017</v>
      </c>
      <c r="G114" t="s">
        <v>664</v>
      </c>
      <c r="H114" t="s">
        <v>665</v>
      </c>
      <c r="I114" t="s">
        <v>666</v>
      </c>
      <c r="J114" t="s">
        <v>26</v>
      </c>
      <c r="K114" t="s">
        <v>48</v>
      </c>
      <c r="L114" t="b">
        <v>1</v>
      </c>
      <c r="M114" t="s">
        <v>667</v>
      </c>
      <c r="N114" t="str">
        <f>"780.76"</f>
        <v>780.76</v>
      </c>
      <c r="P114" t="b">
        <v>0</v>
      </c>
      <c r="R114" t="str">
        <f>"9781785581649"</f>
        <v>9781785581649</v>
      </c>
      <c r="S114" t="str">
        <f>"9781783239252"</f>
        <v>9781783239252</v>
      </c>
      <c r="T114">
        <v>1046676742</v>
      </c>
    </row>
    <row r="115" spans="1:20" x14ac:dyDescent="0.25">
      <c r="A115">
        <v>1586197</v>
      </c>
      <c r="B115" t="s">
        <v>668</v>
      </c>
      <c r="D115" t="s">
        <v>203</v>
      </c>
      <c r="E115" t="s">
        <v>669</v>
      </c>
      <c r="F115">
        <v>2017</v>
      </c>
      <c r="G115" t="s">
        <v>670</v>
      </c>
      <c r="H115" t="s">
        <v>671</v>
      </c>
      <c r="I115" t="s">
        <v>672</v>
      </c>
      <c r="J115" t="s">
        <v>26</v>
      </c>
      <c r="K115" t="s">
        <v>27</v>
      </c>
      <c r="L115" t="b">
        <v>1</v>
      </c>
      <c r="M115" t="s">
        <v>673</v>
      </c>
      <c r="N115" t="str">
        <f>"822.92"</f>
        <v>822.92</v>
      </c>
      <c r="P115" t="b">
        <v>1</v>
      </c>
      <c r="R115" t="str">
        <f>"9781786821034"</f>
        <v>9781786821034</v>
      </c>
      <c r="S115" t="str">
        <f>"9781786821041"</f>
        <v>9781786821041</v>
      </c>
      <c r="T115">
        <v>992309710</v>
      </c>
    </row>
    <row r="116" spans="1:20" x14ac:dyDescent="0.25">
      <c r="A116">
        <v>1585160</v>
      </c>
      <c r="B116" t="s">
        <v>674</v>
      </c>
      <c r="C116" t="s">
        <v>675</v>
      </c>
      <c r="D116" t="s">
        <v>487</v>
      </c>
      <c r="E116" t="s">
        <v>488</v>
      </c>
      <c r="F116">
        <v>2017</v>
      </c>
      <c r="G116" t="s">
        <v>676</v>
      </c>
      <c r="H116" t="s">
        <v>677</v>
      </c>
      <c r="J116" t="s">
        <v>26</v>
      </c>
      <c r="K116" t="s">
        <v>27</v>
      </c>
      <c r="L116" t="b">
        <v>1</v>
      </c>
      <c r="M116" t="s">
        <v>678</v>
      </c>
      <c r="N116" t="str">
        <f>"759.4"</f>
        <v>759.4</v>
      </c>
      <c r="P116" t="b">
        <v>0</v>
      </c>
      <c r="Q116" t="b">
        <v>0</v>
      </c>
      <c r="R116" t="str">
        <f>"9781781881545"</f>
        <v>9781781881545</v>
      </c>
      <c r="S116" t="str">
        <f>"9781781887592"</f>
        <v>9781781887592</v>
      </c>
      <c r="T116">
        <v>1004108923</v>
      </c>
    </row>
    <row r="117" spans="1:20" x14ac:dyDescent="0.25">
      <c r="A117">
        <v>1583535</v>
      </c>
      <c r="B117" t="s">
        <v>679</v>
      </c>
      <c r="C117" t="s">
        <v>680</v>
      </c>
      <c r="D117" t="s">
        <v>211</v>
      </c>
      <c r="E117" t="s">
        <v>212</v>
      </c>
      <c r="F117">
        <v>2017</v>
      </c>
      <c r="G117" t="s">
        <v>681</v>
      </c>
      <c r="H117" t="s">
        <v>682</v>
      </c>
      <c r="I117" t="s">
        <v>683</v>
      </c>
      <c r="J117" t="s">
        <v>26</v>
      </c>
      <c r="K117" t="s">
        <v>27</v>
      </c>
      <c r="L117" t="b">
        <v>1</v>
      </c>
      <c r="M117" t="s">
        <v>684</v>
      </c>
      <c r="N117" t="str">
        <f>"324.29407"</f>
        <v>324.29407</v>
      </c>
      <c r="P117" t="b">
        <v>0</v>
      </c>
      <c r="Q117" t="b">
        <v>0</v>
      </c>
      <c r="S117" t="str">
        <f>"9781925495195"</f>
        <v>9781925495195</v>
      </c>
      <c r="T117">
        <v>1005261191</v>
      </c>
    </row>
    <row r="118" spans="1:20" x14ac:dyDescent="0.25">
      <c r="A118">
        <v>1583534</v>
      </c>
      <c r="B118" t="s">
        <v>685</v>
      </c>
      <c r="C118" t="s">
        <v>686</v>
      </c>
      <c r="D118" t="s">
        <v>211</v>
      </c>
      <c r="E118" t="s">
        <v>212</v>
      </c>
      <c r="F118">
        <v>2017</v>
      </c>
      <c r="G118" t="s">
        <v>57</v>
      </c>
      <c r="H118" t="s">
        <v>687</v>
      </c>
      <c r="I118" t="s">
        <v>688</v>
      </c>
      <c r="J118" t="s">
        <v>26</v>
      </c>
      <c r="K118" t="s">
        <v>27</v>
      </c>
      <c r="L118" t="b">
        <v>1</v>
      </c>
      <c r="M118" t="s">
        <v>689</v>
      </c>
      <c r="N118" t="str">
        <f>"363.34/9290994"</f>
        <v>363.34/9290994</v>
      </c>
      <c r="P118" t="b">
        <v>0</v>
      </c>
      <c r="Q118" t="b">
        <v>0</v>
      </c>
      <c r="S118" t="str">
        <f>"9781925495454"</f>
        <v>9781925495454</v>
      </c>
      <c r="T118">
        <v>1005260542</v>
      </c>
    </row>
    <row r="119" spans="1:20" x14ac:dyDescent="0.25">
      <c r="A119">
        <v>1580822</v>
      </c>
      <c r="B119" t="s">
        <v>690</v>
      </c>
      <c r="D119" t="s">
        <v>131</v>
      </c>
      <c r="E119" t="s">
        <v>669</v>
      </c>
      <c r="F119">
        <v>2017</v>
      </c>
      <c r="G119" t="s">
        <v>670</v>
      </c>
      <c r="H119" t="s">
        <v>691</v>
      </c>
      <c r="J119" t="s">
        <v>26</v>
      </c>
      <c r="K119" t="s">
        <v>48</v>
      </c>
      <c r="L119" t="b">
        <v>1</v>
      </c>
      <c r="M119" t="s">
        <v>692</v>
      </c>
      <c r="N119" t="str">
        <f>"822.3/3"</f>
        <v>822.3/3</v>
      </c>
      <c r="P119" t="b">
        <v>1</v>
      </c>
      <c r="R119" t="str">
        <f>"9781786822246"</f>
        <v>9781786822246</v>
      </c>
      <c r="S119" t="str">
        <f>"9781786822253"</f>
        <v>9781786822253</v>
      </c>
      <c r="T119">
        <v>1024215060</v>
      </c>
    </row>
    <row r="120" spans="1:20" x14ac:dyDescent="0.25">
      <c r="A120">
        <v>1580523</v>
      </c>
      <c r="B120" t="s">
        <v>693</v>
      </c>
      <c r="C120" t="s">
        <v>694</v>
      </c>
      <c r="D120" t="s">
        <v>131</v>
      </c>
      <c r="E120" t="s">
        <v>669</v>
      </c>
      <c r="F120">
        <v>2017</v>
      </c>
      <c r="G120" t="s">
        <v>695</v>
      </c>
      <c r="H120" t="s">
        <v>696</v>
      </c>
      <c r="I120" t="s">
        <v>697</v>
      </c>
      <c r="J120" t="s">
        <v>26</v>
      </c>
      <c r="K120" t="s">
        <v>48</v>
      </c>
      <c r="L120" t="b">
        <v>1</v>
      </c>
      <c r="M120" t="s">
        <v>698</v>
      </c>
      <c r="N120" t="str">
        <f>"822.91"</f>
        <v>822.91</v>
      </c>
      <c r="P120" t="b">
        <v>0</v>
      </c>
      <c r="R120" t="str">
        <f>"9781786820433"</f>
        <v>9781786820433</v>
      </c>
      <c r="S120" t="str">
        <f>"9781786820440"</f>
        <v>9781786820440</v>
      </c>
      <c r="T120">
        <v>1024207231</v>
      </c>
    </row>
    <row r="121" spans="1:20" x14ac:dyDescent="0.25">
      <c r="A121">
        <v>1578552</v>
      </c>
      <c r="B121" t="s">
        <v>699</v>
      </c>
      <c r="C121" t="s">
        <v>700</v>
      </c>
      <c r="D121" t="s">
        <v>487</v>
      </c>
      <c r="E121" t="s">
        <v>488</v>
      </c>
      <c r="F121">
        <v>2017</v>
      </c>
      <c r="G121" t="s">
        <v>701</v>
      </c>
      <c r="H121" t="s">
        <v>702</v>
      </c>
      <c r="I121" t="s">
        <v>703</v>
      </c>
      <c r="J121" t="s">
        <v>26</v>
      </c>
      <c r="K121" t="s">
        <v>27</v>
      </c>
      <c r="L121" t="b">
        <v>1</v>
      </c>
      <c r="M121" t="s">
        <v>704</v>
      </c>
      <c r="N121" t="str">
        <f>"842/.5"</f>
        <v>842/.5</v>
      </c>
      <c r="O121" t="s">
        <v>705</v>
      </c>
      <c r="P121" t="b">
        <v>1</v>
      </c>
      <c r="Q121" t="b">
        <v>0</v>
      </c>
      <c r="R121" t="str">
        <f>"9781781882184"</f>
        <v>9781781882184</v>
      </c>
      <c r="S121" t="str">
        <f>"9781781887578"</f>
        <v>9781781887578</v>
      </c>
      <c r="T121">
        <v>1001859878</v>
      </c>
    </row>
    <row r="122" spans="1:20" x14ac:dyDescent="0.25">
      <c r="A122">
        <v>1573334</v>
      </c>
      <c r="B122" t="s">
        <v>706</v>
      </c>
      <c r="D122" t="s">
        <v>131</v>
      </c>
      <c r="E122" t="s">
        <v>669</v>
      </c>
      <c r="F122">
        <v>2017</v>
      </c>
      <c r="G122" t="s">
        <v>670</v>
      </c>
      <c r="H122" t="s">
        <v>707</v>
      </c>
      <c r="I122" t="s">
        <v>708</v>
      </c>
      <c r="J122" t="s">
        <v>26</v>
      </c>
      <c r="K122" t="s">
        <v>48</v>
      </c>
      <c r="L122" t="b">
        <v>1</v>
      </c>
      <c r="M122" t="s">
        <v>709</v>
      </c>
      <c r="N122" t="str">
        <f>"822.92"</f>
        <v>822.92</v>
      </c>
      <c r="P122" t="b">
        <v>1</v>
      </c>
      <c r="R122" t="str">
        <f>"9781786821782"</f>
        <v>9781786821782</v>
      </c>
      <c r="S122" t="str">
        <f>"9781786821799"</f>
        <v>9781786821799</v>
      </c>
      <c r="T122">
        <v>990511520</v>
      </c>
    </row>
    <row r="123" spans="1:20" x14ac:dyDescent="0.25">
      <c r="A123">
        <v>1572080</v>
      </c>
      <c r="B123" t="s">
        <v>710</v>
      </c>
      <c r="C123" t="s">
        <v>711</v>
      </c>
      <c r="D123" t="s">
        <v>211</v>
      </c>
      <c r="E123" t="s">
        <v>212</v>
      </c>
      <c r="F123">
        <v>2017</v>
      </c>
      <c r="G123" t="s">
        <v>712</v>
      </c>
      <c r="H123" t="s">
        <v>713</v>
      </c>
      <c r="I123" t="s">
        <v>714</v>
      </c>
      <c r="J123" t="s">
        <v>26</v>
      </c>
      <c r="K123" t="s">
        <v>27</v>
      </c>
      <c r="L123" t="b">
        <v>1</v>
      </c>
      <c r="M123" t="s">
        <v>715</v>
      </c>
      <c r="N123" t="str">
        <f>"994"</f>
        <v>994</v>
      </c>
      <c r="P123" t="b">
        <v>0</v>
      </c>
      <c r="Q123" t="b">
        <v>0</v>
      </c>
      <c r="S123" t="str">
        <f>"9781925495614"</f>
        <v>9781925495614</v>
      </c>
      <c r="T123">
        <v>1004771810</v>
      </c>
    </row>
    <row r="124" spans="1:20" x14ac:dyDescent="0.25">
      <c r="A124">
        <v>1566521</v>
      </c>
      <c r="B124" t="s">
        <v>716</v>
      </c>
      <c r="D124" t="s">
        <v>717</v>
      </c>
      <c r="E124" t="s">
        <v>718</v>
      </c>
      <c r="F124">
        <v>1995</v>
      </c>
      <c r="J124" t="s">
        <v>26</v>
      </c>
      <c r="K124" t="s">
        <v>27</v>
      </c>
      <c r="L124" t="b">
        <v>1</v>
      </c>
      <c r="M124" t="s">
        <v>719</v>
      </c>
      <c r="P124" t="b">
        <v>0</v>
      </c>
      <c r="Q124" t="b">
        <v>0</v>
      </c>
    </row>
    <row r="125" spans="1:20" x14ac:dyDescent="0.25">
      <c r="A125">
        <v>1565705</v>
      </c>
      <c r="B125" t="s">
        <v>720</v>
      </c>
      <c r="C125" t="s">
        <v>721</v>
      </c>
      <c r="D125" t="s">
        <v>43</v>
      </c>
      <c r="E125" t="s">
        <v>44</v>
      </c>
      <c r="F125">
        <v>2017</v>
      </c>
      <c r="G125" t="s">
        <v>722</v>
      </c>
      <c r="H125" t="s">
        <v>723</v>
      </c>
      <c r="I125" t="s">
        <v>724</v>
      </c>
      <c r="J125" t="s">
        <v>26</v>
      </c>
      <c r="K125" t="s">
        <v>48</v>
      </c>
      <c r="L125" t="b">
        <v>1</v>
      </c>
      <c r="M125" t="s">
        <v>725</v>
      </c>
      <c r="N125" t="str">
        <f>"617.7"</f>
        <v>617.7</v>
      </c>
      <c r="P125" t="b">
        <v>0</v>
      </c>
      <c r="R125" t="str">
        <f>"9781496318831"</f>
        <v>9781496318831</v>
      </c>
      <c r="S125" t="str">
        <f>"9781496353665"</f>
        <v>9781496353665</v>
      </c>
      <c r="T125">
        <v>951081880</v>
      </c>
    </row>
    <row r="126" spans="1:20" x14ac:dyDescent="0.25">
      <c r="A126">
        <v>1561271</v>
      </c>
      <c r="B126" t="s">
        <v>726</v>
      </c>
      <c r="D126" t="s">
        <v>22</v>
      </c>
      <c r="E126" t="s">
        <v>22</v>
      </c>
      <c r="F126">
        <v>2016</v>
      </c>
      <c r="G126" t="s">
        <v>31</v>
      </c>
      <c r="H126" t="s">
        <v>727</v>
      </c>
      <c r="I126" t="s">
        <v>728</v>
      </c>
      <c r="J126" t="s">
        <v>26</v>
      </c>
      <c r="K126" t="s">
        <v>27</v>
      </c>
      <c r="L126" t="b">
        <v>1</v>
      </c>
      <c r="M126" t="s">
        <v>729</v>
      </c>
      <c r="N126" t="str">
        <f>"069.02854"</f>
        <v>069.02854</v>
      </c>
      <c r="P126" t="b">
        <v>0</v>
      </c>
      <c r="Q126" t="b">
        <v>0</v>
      </c>
      <c r="R126" t="str">
        <f>"9789089646613"</f>
        <v>9789089646613</v>
      </c>
      <c r="S126" t="str">
        <f>"9789048524808"</f>
        <v>9789048524808</v>
      </c>
      <c r="T126">
        <v>994883244</v>
      </c>
    </row>
    <row r="127" spans="1:20" x14ac:dyDescent="0.25">
      <c r="A127">
        <v>1561265</v>
      </c>
      <c r="B127" t="s">
        <v>730</v>
      </c>
      <c r="D127" t="s">
        <v>22</v>
      </c>
      <c r="E127" t="s">
        <v>22</v>
      </c>
      <c r="F127">
        <v>2017</v>
      </c>
      <c r="G127" t="s">
        <v>57</v>
      </c>
      <c r="H127" t="s">
        <v>731</v>
      </c>
      <c r="I127" t="s">
        <v>732</v>
      </c>
      <c r="J127" t="s">
        <v>26</v>
      </c>
      <c r="K127" t="s">
        <v>27</v>
      </c>
      <c r="L127" t="b">
        <v>1</v>
      </c>
      <c r="M127" t="s">
        <v>733</v>
      </c>
      <c r="N127" t="str">
        <f>"305.4"</f>
        <v>305.4</v>
      </c>
      <c r="P127" t="b">
        <v>0</v>
      </c>
      <c r="Q127" t="b">
        <v>0</v>
      </c>
      <c r="R127" t="str">
        <f>"9789089646026"</f>
        <v>9789089646026</v>
      </c>
      <c r="S127" t="str">
        <f>"9789048522279"</f>
        <v>9789048522279</v>
      </c>
      <c r="T127">
        <v>994883185</v>
      </c>
    </row>
    <row r="128" spans="1:20" x14ac:dyDescent="0.25">
      <c r="A128">
        <v>1560270</v>
      </c>
      <c r="B128" t="s">
        <v>734</v>
      </c>
      <c r="D128" t="s">
        <v>22</v>
      </c>
      <c r="E128" t="s">
        <v>22</v>
      </c>
      <c r="F128">
        <v>2017</v>
      </c>
      <c r="G128" t="s">
        <v>37</v>
      </c>
      <c r="H128" t="s">
        <v>735</v>
      </c>
      <c r="I128" t="s">
        <v>736</v>
      </c>
      <c r="J128" t="s">
        <v>26</v>
      </c>
      <c r="K128" t="s">
        <v>27</v>
      </c>
      <c r="L128" t="b">
        <v>1</v>
      </c>
      <c r="M128" t="s">
        <v>737</v>
      </c>
      <c r="N128" t="str">
        <f>"745.67"</f>
        <v>745.67</v>
      </c>
      <c r="O128" t="s">
        <v>738</v>
      </c>
      <c r="P128" t="b">
        <v>1</v>
      </c>
      <c r="Q128" t="b">
        <v>0</v>
      </c>
      <c r="R128" t="str">
        <f>"9789462980624"</f>
        <v>9789462980624</v>
      </c>
      <c r="S128" t="str">
        <f>"9789048530014"</f>
        <v>9789048530014</v>
      </c>
      <c r="T128">
        <v>995528269</v>
      </c>
    </row>
    <row r="129" spans="1:20" x14ac:dyDescent="0.25">
      <c r="A129">
        <v>1559961</v>
      </c>
      <c r="B129" t="s">
        <v>739</v>
      </c>
      <c r="D129" t="s">
        <v>131</v>
      </c>
      <c r="E129" t="s">
        <v>669</v>
      </c>
      <c r="F129">
        <v>2017</v>
      </c>
      <c r="G129" t="s">
        <v>740</v>
      </c>
      <c r="H129" t="s">
        <v>741</v>
      </c>
      <c r="I129" t="s">
        <v>742</v>
      </c>
      <c r="J129" t="s">
        <v>26</v>
      </c>
      <c r="K129" t="s">
        <v>48</v>
      </c>
      <c r="L129" t="b">
        <v>1</v>
      </c>
      <c r="M129" t="s">
        <v>743</v>
      </c>
      <c r="N129" t="str">
        <f>"812.54"</f>
        <v>812.54</v>
      </c>
      <c r="P129" t="b">
        <v>1</v>
      </c>
      <c r="R129" t="str">
        <f>"9781786821645"</f>
        <v>9781786821645</v>
      </c>
      <c r="S129" t="str">
        <f>"9781786821652"</f>
        <v>9781786821652</v>
      </c>
      <c r="T129">
        <v>989816102</v>
      </c>
    </row>
    <row r="130" spans="1:20" x14ac:dyDescent="0.25">
      <c r="A130">
        <v>1558522</v>
      </c>
      <c r="B130" t="s">
        <v>744</v>
      </c>
      <c r="C130" t="s">
        <v>745</v>
      </c>
      <c r="D130" t="s">
        <v>211</v>
      </c>
      <c r="E130" t="s">
        <v>212</v>
      </c>
      <c r="F130">
        <v>2017</v>
      </c>
      <c r="G130" t="s">
        <v>197</v>
      </c>
      <c r="H130" t="s">
        <v>746</v>
      </c>
      <c r="I130" t="s">
        <v>747</v>
      </c>
      <c r="J130" t="s">
        <v>26</v>
      </c>
      <c r="K130" t="s">
        <v>27</v>
      </c>
      <c r="L130" t="b">
        <v>1</v>
      </c>
      <c r="M130" t="s">
        <v>748</v>
      </c>
      <c r="N130" t="str">
        <f>"807.1/2"</f>
        <v>807.1/2</v>
      </c>
      <c r="O130" t="s">
        <v>749</v>
      </c>
      <c r="P130" t="b">
        <v>0</v>
      </c>
      <c r="Q130" t="b">
        <v>0</v>
      </c>
      <c r="S130" t="str">
        <f>"9781925495584"</f>
        <v>9781925495584</v>
      </c>
      <c r="T130">
        <v>995051209</v>
      </c>
    </row>
    <row r="131" spans="1:20" x14ac:dyDescent="0.25">
      <c r="A131">
        <v>1558089</v>
      </c>
      <c r="B131" t="s">
        <v>750</v>
      </c>
      <c r="C131" t="s">
        <v>751</v>
      </c>
      <c r="D131" t="s">
        <v>211</v>
      </c>
      <c r="E131" t="s">
        <v>212</v>
      </c>
      <c r="F131">
        <v>2017</v>
      </c>
      <c r="G131" t="s">
        <v>712</v>
      </c>
      <c r="H131" t="s">
        <v>752</v>
      </c>
      <c r="I131" t="s">
        <v>753</v>
      </c>
      <c r="J131" t="s">
        <v>26</v>
      </c>
      <c r="K131" t="s">
        <v>27</v>
      </c>
      <c r="L131" t="b">
        <v>1</v>
      </c>
      <c r="M131" t="s">
        <v>754</v>
      </c>
      <c r="N131" t="str">
        <f>"994"</f>
        <v>994</v>
      </c>
      <c r="O131" t="s">
        <v>252</v>
      </c>
      <c r="P131" t="b">
        <v>0</v>
      </c>
      <c r="Q131" t="b">
        <v>0</v>
      </c>
      <c r="S131" t="str">
        <f>"9781922235794"</f>
        <v>9781922235794</v>
      </c>
      <c r="T131">
        <v>994643198</v>
      </c>
    </row>
    <row r="132" spans="1:20" x14ac:dyDescent="0.25">
      <c r="A132">
        <v>1554962</v>
      </c>
      <c r="B132" t="s">
        <v>755</v>
      </c>
      <c r="D132" t="s">
        <v>203</v>
      </c>
      <c r="E132" t="s">
        <v>756</v>
      </c>
      <c r="F132">
        <v>2017</v>
      </c>
      <c r="G132" t="s">
        <v>117</v>
      </c>
      <c r="H132" t="s">
        <v>757</v>
      </c>
      <c r="I132" t="s">
        <v>758</v>
      </c>
      <c r="J132" t="s">
        <v>512</v>
      </c>
      <c r="K132" t="s">
        <v>48</v>
      </c>
      <c r="L132" t="b">
        <v>1</v>
      </c>
      <c r="M132" t="s">
        <v>759</v>
      </c>
      <c r="N132" t="str">
        <f>"338.20983"</f>
        <v>338.20983</v>
      </c>
      <c r="P132" t="b">
        <v>0</v>
      </c>
      <c r="S132" t="str">
        <f>"9786124110658"</f>
        <v>9786124110658</v>
      </c>
      <c r="T132">
        <v>988865980</v>
      </c>
    </row>
    <row r="133" spans="1:20" x14ac:dyDescent="0.25">
      <c r="A133">
        <v>1548288</v>
      </c>
      <c r="B133" t="s">
        <v>760</v>
      </c>
      <c r="D133" t="s">
        <v>131</v>
      </c>
      <c r="E133" t="s">
        <v>669</v>
      </c>
      <c r="F133">
        <v>2017</v>
      </c>
      <c r="G133" t="s">
        <v>670</v>
      </c>
      <c r="H133" t="s">
        <v>761</v>
      </c>
      <c r="I133" t="s">
        <v>762</v>
      </c>
      <c r="J133" t="s">
        <v>26</v>
      </c>
      <c r="K133" t="s">
        <v>48</v>
      </c>
      <c r="L133" t="b">
        <v>1</v>
      </c>
      <c r="M133" t="s">
        <v>763</v>
      </c>
      <c r="N133" t="str">
        <f>"822/.9208"</f>
        <v>822/.9208</v>
      </c>
      <c r="O133" t="s">
        <v>764</v>
      </c>
      <c r="P133" t="b">
        <v>1</v>
      </c>
      <c r="R133" t="str">
        <f>"9781786822178"</f>
        <v>9781786822178</v>
      </c>
      <c r="S133" t="str">
        <f>"9781786822185"</f>
        <v>9781786822185</v>
      </c>
      <c r="T133">
        <v>1024215058</v>
      </c>
    </row>
    <row r="134" spans="1:20" x14ac:dyDescent="0.25">
      <c r="A134">
        <v>1546772</v>
      </c>
      <c r="B134" t="s">
        <v>765</v>
      </c>
      <c r="D134" t="s">
        <v>131</v>
      </c>
      <c r="E134" t="s">
        <v>766</v>
      </c>
      <c r="F134">
        <v>2016</v>
      </c>
      <c r="G134" t="s">
        <v>767</v>
      </c>
      <c r="H134" t="s">
        <v>768</v>
      </c>
      <c r="I134" t="s">
        <v>769</v>
      </c>
      <c r="J134" t="s">
        <v>26</v>
      </c>
      <c r="K134" t="s">
        <v>48</v>
      </c>
      <c r="L134" t="b">
        <v>1</v>
      </c>
      <c r="M134" t="s">
        <v>770</v>
      </c>
      <c r="N134" t="str">
        <f>"616.5"</f>
        <v>616.5</v>
      </c>
      <c r="P134" t="b">
        <v>0</v>
      </c>
      <c r="R134" t="str">
        <f>"9781580406307"</f>
        <v>9781580406307</v>
      </c>
      <c r="S134" t="str">
        <f>"9781580406772"</f>
        <v>9781580406772</v>
      </c>
      <c r="T134">
        <v>985806210</v>
      </c>
    </row>
    <row r="135" spans="1:20" x14ac:dyDescent="0.25">
      <c r="A135">
        <v>1544986</v>
      </c>
      <c r="B135" t="s">
        <v>771</v>
      </c>
      <c r="C135" t="s">
        <v>772</v>
      </c>
      <c r="D135" t="s">
        <v>203</v>
      </c>
      <c r="E135" t="s">
        <v>773</v>
      </c>
      <c r="F135">
        <v>2017</v>
      </c>
      <c r="G135" t="s">
        <v>774</v>
      </c>
      <c r="H135" t="s">
        <v>775</v>
      </c>
      <c r="I135" t="s">
        <v>776</v>
      </c>
      <c r="J135" t="s">
        <v>512</v>
      </c>
      <c r="K135" t="s">
        <v>48</v>
      </c>
      <c r="L135" t="b">
        <v>1</v>
      </c>
      <c r="M135" t="s">
        <v>777</v>
      </c>
      <c r="N135" t="str">
        <f>"303.482"</f>
        <v>303.482</v>
      </c>
      <c r="P135" t="b">
        <v>0</v>
      </c>
      <c r="S135" t="str">
        <f>"9786123180959"</f>
        <v>9786123180959</v>
      </c>
      <c r="T135">
        <v>986207091</v>
      </c>
    </row>
    <row r="136" spans="1:20" x14ac:dyDescent="0.25">
      <c r="A136">
        <v>1544977</v>
      </c>
      <c r="B136" t="s">
        <v>778</v>
      </c>
      <c r="D136" t="s">
        <v>131</v>
      </c>
      <c r="E136" t="s">
        <v>669</v>
      </c>
      <c r="F136">
        <v>2017</v>
      </c>
      <c r="G136" t="s">
        <v>779</v>
      </c>
      <c r="H136" t="s">
        <v>780</v>
      </c>
      <c r="I136" t="s">
        <v>781</v>
      </c>
      <c r="J136" t="s">
        <v>26</v>
      </c>
      <c r="K136" t="s">
        <v>48</v>
      </c>
      <c r="L136" t="b">
        <v>1</v>
      </c>
      <c r="M136" t="s">
        <v>782</v>
      </c>
      <c r="N136" t="str">
        <f>"822.914"</f>
        <v>822.914</v>
      </c>
      <c r="P136" t="b">
        <v>1</v>
      </c>
      <c r="R136" t="str">
        <f>"9781840022353"</f>
        <v>9781840022353</v>
      </c>
      <c r="S136" t="str">
        <f>"9781786821997"</f>
        <v>9781786821997</v>
      </c>
      <c r="T136">
        <v>1024210339</v>
      </c>
    </row>
    <row r="137" spans="1:20" x14ac:dyDescent="0.25">
      <c r="A137">
        <v>1535892</v>
      </c>
      <c r="B137" t="s">
        <v>783</v>
      </c>
      <c r="C137" t="s">
        <v>784</v>
      </c>
      <c r="D137" t="s">
        <v>785</v>
      </c>
      <c r="E137" t="s">
        <v>785</v>
      </c>
      <c r="F137">
        <v>2017</v>
      </c>
      <c r="G137" t="s">
        <v>786</v>
      </c>
      <c r="H137" t="s">
        <v>787</v>
      </c>
      <c r="I137" t="s">
        <v>788</v>
      </c>
      <c r="J137" t="s">
        <v>26</v>
      </c>
      <c r="K137" t="s">
        <v>86</v>
      </c>
      <c r="L137" t="b">
        <v>1</v>
      </c>
      <c r="M137" t="s">
        <v>789</v>
      </c>
      <c r="N137" t="str">
        <f>"005.369"</f>
        <v>005.369</v>
      </c>
      <c r="O137" t="s">
        <v>790</v>
      </c>
      <c r="P137" t="b">
        <v>0</v>
      </c>
      <c r="R137" t="str">
        <f>"9781631579431"</f>
        <v>9781631579431</v>
      </c>
      <c r="S137" t="str">
        <f>"9781631579448"</f>
        <v>9781631579448</v>
      </c>
      <c r="T137">
        <v>992804444</v>
      </c>
    </row>
    <row r="138" spans="1:20" x14ac:dyDescent="0.25">
      <c r="A138">
        <v>1535677</v>
      </c>
      <c r="B138" t="s">
        <v>791</v>
      </c>
      <c r="C138" t="s">
        <v>792</v>
      </c>
      <c r="D138" t="s">
        <v>255</v>
      </c>
      <c r="E138" t="s">
        <v>256</v>
      </c>
      <c r="F138">
        <v>2017</v>
      </c>
      <c r="G138" t="s">
        <v>793</v>
      </c>
      <c r="H138" t="s">
        <v>482</v>
      </c>
      <c r="I138" t="s">
        <v>794</v>
      </c>
      <c r="J138" t="s">
        <v>26</v>
      </c>
      <c r="K138" t="s">
        <v>86</v>
      </c>
      <c r="L138" t="b">
        <v>1</v>
      </c>
      <c r="M138" t="s">
        <v>795</v>
      </c>
      <c r="N138" t="str">
        <f>"993"</f>
        <v>993</v>
      </c>
      <c r="P138" t="b">
        <v>0</v>
      </c>
      <c r="S138" t="str">
        <f>"9781775589242"</f>
        <v>9781775589242</v>
      </c>
      <c r="T138">
        <v>990267761</v>
      </c>
    </row>
    <row r="139" spans="1:20" x14ac:dyDescent="0.25">
      <c r="A139">
        <v>1531288</v>
      </c>
      <c r="B139" t="s">
        <v>796</v>
      </c>
      <c r="D139" t="s">
        <v>487</v>
      </c>
      <c r="E139" t="s">
        <v>488</v>
      </c>
      <c r="F139">
        <v>2017</v>
      </c>
      <c r="G139" t="s">
        <v>797</v>
      </c>
      <c r="H139" t="s">
        <v>798</v>
      </c>
      <c r="I139" t="s">
        <v>799</v>
      </c>
      <c r="J139" t="s">
        <v>26</v>
      </c>
      <c r="K139" t="s">
        <v>27</v>
      </c>
      <c r="L139" t="b">
        <v>1</v>
      </c>
      <c r="M139" t="s">
        <v>800</v>
      </c>
      <c r="N139" t="str">
        <f>"821/.91"</f>
        <v>821/.91</v>
      </c>
      <c r="O139" t="s">
        <v>801</v>
      </c>
      <c r="P139" t="b">
        <v>0</v>
      </c>
      <c r="Q139" t="b">
        <v>0</v>
      </c>
      <c r="R139" t="str">
        <f>"9781781880999"</f>
        <v>9781781880999</v>
      </c>
      <c r="S139" t="str">
        <f>"9781781887462"</f>
        <v>9781781887462</v>
      </c>
      <c r="T139">
        <v>989984075</v>
      </c>
    </row>
    <row r="140" spans="1:20" x14ac:dyDescent="0.25">
      <c r="A140">
        <v>1531251</v>
      </c>
      <c r="B140" t="s">
        <v>802</v>
      </c>
      <c r="C140" t="s">
        <v>803</v>
      </c>
      <c r="D140" t="s">
        <v>107</v>
      </c>
      <c r="E140" t="s">
        <v>108</v>
      </c>
      <c r="F140">
        <v>2017</v>
      </c>
      <c r="G140" t="s">
        <v>804</v>
      </c>
      <c r="H140" t="s">
        <v>805</v>
      </c>
      <c r="I140" t="s">
        <v>806</v>
      </c>
      <c r="J140" t="s">
        <v>26</v>
      </c>
      <c r="K140" t="s">
        <v>48</v>
      </c>
      <c r="L140" t="b">
        <v>1</v>
      </c>
      <c r="M140" t="s">
        <v>807</v>
      </c>
      <c r="N140" t="str">
        <f>"306.76/8"</f>
        <v>306.76/8</v>
      </c>
      <c r="O140" t="s">
        <v>808</v>
      </c>
      <c r="P140" t="b">
        <v>0</v>
      </c>
      <c r="Q140" t="b">
        <v>0</v>
      </c>
      <c r="R140" t="str">
        <f>"9781780460659"</f>
        <v>9781780460659</v>
      </c>
      <c r="S140" t="str">
        <f>"9781780465715"</f>
        <v>9781780465715</v>
      </c>
      <c r="T140">
        <v>989038262</v>
      </c>
    </row>
    <row r="141" spans="1:20" x14ac:dyDescent="0.25">
      <c r="A141">
        <v>1531249</v>
      </c>
      <c r="B141" t="s">
        <v>809</v>
      </c>
      <c r="C141" t="s">
        <v>810</v>
      </c>
      <c r="D141" t="s">
        <v>107</v>
      </c>
      <c r="E141" t="s">
        <v>108</v>
      </c>
      <c r="F141">
        <v>2017</v>
      </c>
      <c r="G141" t="s">
        <v>811</v>
      </c>
      <c r="H141" t="s">
        <v>812</v>
      </c>
      <c r="I141" t="s">
        <v>813</v>
      </c>
      <c r="J141" t="s">
        <v>26</v>
      </c>
      <c r="K141" t="s">
        <v>48</v>
      </c>
      <c r="L141" t="b">
        <v>1</v>
      </c>
      <c r="M141" t="s">
        <v>814</v>
      </c>
      <c r="N141" t="str">
        <f>"362.4083"</f>
        <v>362.4083</v>
      </c>
      <c r="O141" t="s">
        <v>815</v>
      </c>
      <c r="P141" t="b">
        <v>0</v>
      </c>
      <c r="Q141" t="b">
        <v>0</v>
      </c>
      <c r="R141" t="str">
        <f>"9781780460505"</f>
        <v>9781780460505</v>
      </c>
      <c r="S141" t="str">
        <f>"9781780465753"</f>
        <v>9781780465753</v>
      </c>
      <c r="T141">
        <v>989596798</v>
      </c>
    </row>
    <row r="142" spans="1:20" x14ac:dyDescent="0.25">
      <c r="A142">
        <v>1525803</v>
      </c>
      <c r="B142" t="s">
        <v>816</v>
      </c>
      <c r="D142" t="s">
        <v>255</v>
      </c>
      <c r="E142" t="s">
        <v>817</v>
      </c>
      <c r="F142">
        <v>2017</v>
      </c>
      <c r="G142" t="s">
        <v>818</v>
      </c>
      <c r="H142" t="s">
        <v>819</v>
      </c>
      <c r="I142" t="s">
        <v>820</v>
      </c>
      <c r="J142" t="s">
        <v>26</v>
      </c>
      <c r="K142" t="s">
        <v>86</v>
      </c>
      <c r="L142" t="b">
        <v>1</v>
      </c>
      <c r="M142" t="s">
        <v>821</v>
      </c>
      <c r="N142" t="str">
        <f>"808.3"</f>
        <v>808.3</v>
      </c>
      <c r="P142" t="b">
        <v>0</v>
      </c>
      <c r="S142" t="str">
        <f>"9780857301208"</f>
        <v>9780857301208</v>
      </c>
      <c r="T142">
        <v>993126769</v>
      </c>
    </row>
    <row r="143" spans="1:20" x14ac:dyDescent="0.25">
      <c r="A143">
        <v>1519339</v>
      </c>
      <c r="B143" t="s">
        <v>822</v>
      </c>
      <c r="C143" t="s">
        <v>823</v>
      </c>
      <c r="D143" t="s">
        <v>824</v>
      </c>
      <c r="E143" t="s">
        <v>825</v>
      </c>
      <c r="F143">
        <v>2008</v>
      </c>
      <c r="G143" t="s">
        <v>826</v>
      </c>
      <c r="H143" t="s">
        <v>827</v>
      </c>
      <c r="I143" t="s">
        <v>828</v>
      </c>
      <c r="J143" t="s">
        <v>26</v>
      </c>
      <c r="K143" t="s">
        <v>86</v>
      </c>
      <c r="L143" t="b">
        <v>1</v>
      </c>
      <c r="M143" t="s">
        <v>829</v>
      </c>
      <c r="N143" t="str">
        <f>"358/.8"</f>
        <v>358/.8</v>
      </c>
      <c r="P143" t="b">
        <v>0</v>
      </c>
      <c r="R143" t="str">
        <f>"9780804759144"</f>
        <v>9780804759144</v>
      </c>
      <c r="S143" t="str">
        <f>"9780804779746"</f>
        <v>9780804779746</v>
      </c>
      <c r="T143">
        <v>987791181</v>
      </c>
    </row>
    <row r="144" spans="1:20" x14ac:dyDescent="0.25">
      <c r="A144">
        <v>1519285</v>
      </c>
      <c r="B144" t="s">
        <v>830</v>
      </c>
      <c r="C144" t="s">
        <v>831</v>
      </c>
      <c r="D144" t="s">
        <v>824</v>
      </c>
      <c r="E144" t="s">
        <v>824</v>
      </c>
      <c r="F144">
        <v>2007</v>
      </c>
      <c r="G144" t="s">
        <v>832</v>
      </c>
      <c r="H144" t="s">
        <v>833</v>
      </c>
      <c r="I144" t="s">
        <v>834</v>
      </c>
      <c r="J144" t="s">
        <v>26</v>
      </c>
      <c r="K144" t="s">
        <v>48</v>
      </c>
      <c r="L144" t="b">
        <v>1</v>
      </c>
      <c r="M144" t="s">
        <v>835</v>
      </c>
      <c r="N144" t="str">
        <f>"340.5/6"</f>
        <v>340.5/6</v>
      </c>
      <c r="P144" t="b">
        <v>0</v>
      </c>
      <c r="R144" t="str">
        <f>"9780804755689"</f>
        <v>9780804755689</v>
      </c>
      <c r="S144" t="str">
        <f>"9780804768337"</f>
        <v>9780804768337</v>
      </c>
      <c r="T144">
        <v>864804592</v>
      </c>
    </row>
    <row r="145" spans="1:20" x14ac:dyDescent="0.25">
      <c r="A145">
        <v>1517672</v>
      </c>
      <c r="B145" t="s">
        <v>836</v>
      </c>
      <c r="D145" t="s">
        <v>837</v>
      </c>
      <c r="E145" t="s">
        <v>838</v>
      </c>
      <c r="F145">
        <v>2017</v>
      </c>
      <c r="G145" t="s">
        <v>839</v>
      </c>
      <c r="H145" t="s">
        <v>840</v>
      </c>
      <c r="I145" t="s">
        <v>841</v>
      </c>
      <c r="J145" t="s">
        <v>26</v>
      </c>
      <c r="K145" t="s">
        <v>48</v>
      </c>
      <c r="L145" t="b">
        <v>1</v>
      </c>
      <c r="M145" t="s">
        <v>842</v>
      </c>
      <c r="N145" t="str">
        <f>"658"</f>
        <v>658</v>
      </c>
      <c r="O145" t="s">
        <v>843</v>
      </c>
      <c r="P145" t="b">
        <v>0</v>
      </c>
      <c r="T145">
        <v>987636438</v>
      </c>
    </row>
    <row r="146" spans="1:20" x14ac:dyDescent="0.25">
      <c r="A146">
        <v>1516912</v>
      </c>
      <c r="B146" t="s">
        <v>844</v>
      </c>
      <c r="D146" t="s">
        <v>22</v>
      </c>
      <c r="E146" t="s">
        <v>22</v>
      </c>
      <c r="F146">
        <v>2017</v>
      </c>
      <c r="G146" t="s">
        <v>57</v>
      </c>
      <c r="H146" t="s">
        <v>845</v>
      </c>
      <c r="I146" t="s">
        <v>846</v>
      </c>
      <c r="J146" t="s">
        <v>26</v>
      </c>
      <c r="K146" t="s">
        <v>27</v>
      </c>
      <c r="L146" t="b">
        <v>1</v>
      </c>
      <c r="M146" t="s">
        <v>847</v>
      </c>
      <c r="N146" t="str">
        <f>"100"</f>
        <v>100</v>
      </c>
      <c r="P146" t="b">
        <v>0</v>
      </c>
      <c r="Q146" t="b">
        <v>0</v>
      </c>
      <c r="R146" t="str">
        <f>"9789089648518"</f>
        <v>9789089648518</v>
      </c>
      <c r="S146" t="str">
        <f>"9789048527052"</f>
        <v>9789048527052</v>
      </c>
      <c r="T146">
        <v>986526545</v>
      </c>
    </row>
    <row r="147" spans="1:20" x14ac:dyDescent="0.25">
      <c r="A147">
        <v>1516909</v>
      </c>
      <c r="B147" t="s">
        <v>848</v>
      </c>
      <c r="D147" t="s">
        <v>22</v>
      </c>
      <c r="E147" t="s">
        <v>22</v>
      </c>
      <c r="F147">
        <v>2017</v>
      </c>
      <c r="G147" t="s">
        <v>57</v>
      </c>
      <c r="H147" t="s">
        <v>849</v>
      </c>
      <c r="I147" t="s">
        <v>850</v>
      </c>
      <c r="J147" t="s">
        <v>26</v>
      </c>
      <c r="K147" t="s">
        <v>27</v>
      </c>
      <c r="L147" t="b">
        <v>1</v>
      </c>
      <c r="M147" t="s">
        <v>851</v>
      </c>
      <c r="N147" t="str">
        <f>"070.4"</f>
        <v>070.4</v>
      </c>
      <c r="P147" t="b">
        <v>0</v>
      </c>
      <c r="Q147" t="b">
        <v>0</v>
      </c>
      <c r="R147" t="str">
        <f>"9789462980181"</f>
        <v>9789462980181</v>
      </c>
      <c r="S147" t="str">
        <f>"9789048529360"</f>
        <v>9789048529360</v>
      </c>
      <c r="T147">
        <v>982228494</v>
      </c>
    </row>
    <row r="148" spans="1:20" x14ac:dyDescent="0.25">
      <c r="A148">
        <v>1515156</v>
      </c>
      <c r="B148" t="s">
        <v>852</v>
      </c>
      <c r="C148" t="s">
        <v>853</v>
      </c>
      <c r="D148" t="s">
        <v>854</v>
      </c>
      <c r="E148" t="s">
        <v>855</v>
      </c>
      <c r="F148">
        <v>2017</v>
      </c>
      <c r="G148" t="s">
        <v>856</v>
      </c>
      <c r="H148" t="s">
        <v>857</v>
      </c>
      <c r="I148" t="s">
        <v>858</v>
      </c>
      <c r="J148" t="s">
        <v>26</v>
      </c>
      <c r="K148" t="s">
        <v>86</v>
      </c>
      <c r="L148" t="b">
        <v>1</v>
      </c>
      <c r="M148" t="s">
        <v>859</v>
      </c>
      <c r="N148" t="str">
        <f>"324.7/3"</f>
        <v>324.7/3</v>
      </c>
      <c r="P148" t="b">
        <v>0</v>
      </c>
      <c r="R148" t="str">
        <f>"9781944424466"</f>
        <v>9781944424466</v>
      </c>
      <c r="S148" t="str">
        <f>"9781944424473"</f>
        <v>9781944424473</v>
      </c>
      <c r="T148">
        <v>986872946</v>
      </c>
    </row>
    <row r="149" spans="1:20" x14ac:dyDescent="0.25">
      <c r="A149">
        <v>1514619</v>
      </c>
      <c r="B149" t="s">
        <v>860</v>
      </c>
      <c r="C149" t="s">
        <v>861</v>
      </c>
      <c r="D149" t="s">
        <v>123</v>
      </c>
      <c r="E149" t="s">
        <v>219</v>
      </c>
      <c r="F149">
        <v>2009</v>
      </c>
      <c r="G149" t="s">
        <v>862</v>
      </c>
      <c r="H149" t="s">
        <v>863</v>
      </c>
      <c r="I149" t="s">
        <v>864</v>
      </c>
      <c r="J149" t="s">
        <v>26</v>
      </c>
      <c r="K149" t="s">
        <v>48</v>
      </c>
      <c r="L149" t="b">
        <v>1</v>
      </c>
      <c r="M149" t="s">
        <v>865</v>
      </c>
      <c r="N149" t="str">
        <f>"294.3/9"</f>
        <v>294.3/9</v>
      </c>
      <c r="O149" t="s">
        <v>866</v>
      </c>
      <c r="P149" t="b">
        <v>0</v>
      </c>
      <c r="Q149" t="b">
        <v>0</v>
      </c>
      <c r="R149" t="str">
        <f>"9780861714643"</f>
        <v>9780861714643</v>
      </c>
      <c r="S149" t="str">
        <f>"9780861717866"</f>
        <v>9780861717866</v>
      </c>
      <c r="T149">
        <v>986223446</v>
      </c>
    </row>
    <row r="150" spans="1:20" x14ac:dyDescent="0.25">
      <c r="A150">
        <v>1514470</v>
      </c>
      <c r="B150" t="s">
        <v>867</v>
      </c>
      <c r="C150" t="s">
        <v>868</v>
      </c>
      <c r="D150" t="s">
        <v>644</v>
      </c>
      <c r="E150" t="s">
        <v>637</v>
      </c>
      <c r="F150">
        <v>2017</v>
      </c>
      <c r="G150" t="s">
        <v>645</v>
      </c>
      <c r="H150" t="s">
        <v>869</v>
      </c>
      <c r="I150" t="s">
        <v>870</v>
      </c>
      <c r="J150" t="s">
        <v>26</v>
      </c>
      <c r="K150" t="s">
        <v>48</v>
      </c>
      <c r="L150" t="b">
        <v>1</v>
      </c>
      <c r="M150" t="s">
        <v>871</v>
      </c>
      <c r="N150" t="str">
        <f>"940.4/81415"</f>
        <v>940.4/81415</v>
      </c>
      <c r="P150" t="b">
        <v>0</v>
      </c>
      <c r="R150" t="str">
        <f>"9781781174845"</f>
        <v>9781781174845</v>
      </c>
      <c r="S150" t="str">
        <f>"9781781174852"</f>
        <v>9781781174852</v>
      </c>
      <c r="T150">
        <v>982451228</v>
      </c>
    </row>
    <row r="151" spans="1:20" x14ac:dyDescent="0.25">
      <c r="A151">
        <v>1513400</v>
      </c>
      <c r="B151" t="s">
        <v>872</v>
      </c>
      <c r="C151" t="s">
        <v>873</v>
      </c>
      <c r="D151" t="s">
        <v>874</v>
      </c>
      <c r="E151" t="s">
        <v>875</v>
      </c>
      <c r="F151">
        <v>2014</v>
      </c>
      <c r="G151" t="s">
        <v>876</v>
      </c>
      <c r="H151" t="s">
        <v>877</v>
      </c>
      <c r="I151" t="s">
        <v>878</v>
      </c>
      <c r="J151" t="s">
        <v>26</v>
      </c>
      <c r="K151" t="s">
        <v>27</v>
      </c>
      <c r="L151" t="b">
        <v>1</v>
      </c>
      <c r="M151" t="s">
        <v>879</v>
      </c>
      <c r="N151" t="str">
        <f>"616.85/506"</f>
        <v>616.85/506</v>
      </c>
      <c r="P151" t="b">
        <v>0</v>
      </c>
      <c r="Q151" t="b">
        <v>0</v>
      </c>
      <c r="S151" t="str">
        <f>"9781597569088"</f>
        <v>9781597569088</v>
      </c>
      <c r="T151">
        <v>985461881</v>
      </c>
    </row>
    <row r="152" spans="1:20" x14ac:dyDescent="0.25">
      <c r="A152">
        <v>1513372</v>
      </c>
      <c r="B152" t="s">
        <v>880</v>
      </c>
      <c r="C152" t="s">
        <v>881</v>
      </c>
      <c r="D152" t="s">
        <v>882</v>
      </c>
      <c r="E152" t="s">
        <v>883</v>
      </c>
      <c r="F152">
        <v>2016</v>
      </c>
      <c r="G152" t="s">
        <v>322</v>
      </c>
      <c r="H152" t="s">
        <v>884</v>
      </c>
      <c r="I152" t="s">
        <v>885</v>
      </c>
      <c r="J152" t="s">
        <v>26</v>
      </c>
      <c r="K152" t="s">
        <v>86</v>
      </c>
      <c r="L152" t="b">
        <v>1</v>
      </c>
      <c r="M152" t="s">
        <v>886</v>
      </c>
      <c r="N152" t="str">
        <f>"658.8342"</f>
        <v>658.8342</v>
      </c>
      <c r="P152" t="b">
        <v>0</v>
      </c>
      <c r="Q152" t="b">
        <v>0</v>
      </c>
      <c r="R152" t="str">
        <f>"9789814751667"</f>
        <v>9789814751667</v>
      </c>
      <c r="S152" t="str">
        <f>"9789814779173"</f>
        <v>9789814779173</v>
      </c>
      <c r="T152">
        <v>986171611</v>
      </c>
    </row>
    <row r="153" spans="1:20" x14ac:dyDescent="0.25">
      <c r="A153">
        <v>1512560</v>
      </c>
      <c r="B153" t="s">
        <v>887</v>
      </c>
      <c r="C153" t="s">
        <v>888</v>
      </c>
      <c r="D153" t="s">
        <v>889</v>
      </c>
      <c r="E153" t="s">
        <v>889</v>
      </c>
      <c r="F153">
        <v>2017</v>
      </c>
      <c r="G153" t="s">
        <v>890</v>
      </c>
      <c r="H153" t="s">
        <v>891</v>
      </c>
      <c r="I153" t="s">
        <v>892</v>
      </c>
      <c r="J153" t="s">
        <v>26</v>
      </c>
      <c r="K153" t="s">
        <v>86</v>
      </c>
      <c r="L153" t="b">
        <v>1</v>
      </c>
      <c r="M153" t="s">
        <v>893</v>
      </c>
      <c r="N153" t="str">
        <f>"346.082"</f>
        <v>346.082</v>
      </c>
      <c r="P153" t="b">
        <v>0</v>
      </c>
      <c r="R153" t="str">
        <f>"9789292577919"</f>
        <v>9789292577919</v>
      </c>
      <c r="S153" t="str">
        <f>"9789292577926"</f>
        <v>9789292577926</v>
      </c>
      <c r="T153">
        <v>986066744</v>
      </c>
    </row>
    <row r="154" spans="1:20" x14ac:dyDescent="0.25">
      <c r="A154">
        <v>1506593</v>
      </c>
      <c r="B154" t="s">
        <v>894</v>
      </c>
      <c r="D154" t="s">
        <v>131</v>
      </c>
      <c r="E154" t="s">
        <v>669</v>
      </c>
      <c r="F154">
        <v>2015</v>
      </c>
      <c r="G154" t="s">
        <v>489</v>
      </c>
      <c r="H154" t="s">
        <v>895</v>
      </c>
      <c r="J154" t="s">
        <v>26</v>
      </c>
      <c r="K154" t="s">
        <v>48</v>
      </c>
      <c r="L154" t="b">
        <v>1</v>
      </c>
      <c r="M154" t="s">
        <v>896</v>
      </c>
      <c r="N154" t="str">
        <f>"832/.912"</f>
        <v>832/.912</v>
      </c>
      <c r="P154" t="b">
        <v>1</v>
      </c>
      <c r="R154" t="str">
        <f>"9780948230394"</f>
        <v>9780948230394</v>
      </c>
      <c r="S154" t="str">
        <f>"9781783197880"</f>
        <v>9781783197880</v>
      </c>
      <c r="T154">
        <v>1030301679</v>
      </c>
    </row>
    <row r="155" spans="1:20" x14ac:dyDescent="0.25">
      <c r="A155">
        <v>1506592</v>
      </c>
      <c r="B155" t="s">
        <v>897</v>
      </c>
      <c r="C155" t="s">
        <v>898</v>
      </c>
      <c r="D155" t="s">
        <v>131</v>
      </c>
      <c r="E155" t="s">
        <v>669</v>
      </c>
      <c r="F155">
        <v>2017</v>
      </c>
      <c r="G155" t="s">
        <v>740</v>
      </c>
      <c r="H155" t="s">
        <v>899</v>
      </c>
      <c r="I155" t="s">
        <v>900</v>
      </c>
      <c r="J155" t="s">
        <v>26</v>
      </c>
      <c r="K155" t="s">
        <v>48</v>
      </c>
      <c r="L155" t="b">
        <v>1</v>
      </c>
      <c r="M155" t="s">
        <v>901</v>
      </c>
      <c r="N155" t="str">
        <f>"808.82/9896"</f>
        <v>808.82/9896</v>
      </c>
      <c r="P155" t="b">
        <v>1</v>
      </c>
      <c r="R155" t="str">
        <f>"9781786821515"</f>
        <v>9781786821515</v>
      </c>
      <c r="S155" t="str">
        <f>"9781786821522"</f>
        <v>9781786821522</v>
      </c>
      <c r="T155">
        <v>1004621265</v>
      </c>
    </row>
    <row r="156" spans="1:20" x14ac:dyDescent="0.25">
      <c r="A156">
        <v>1506491</v>
      </c>
      <c r="B156" t="s">
        <v>902</v>
      </c>
      <c r="C156" t="s">
        <v>903</v>
      </c>
      <c r="D156" t="s">
        <v>487</v>
      </c>
      <c r="E156" t="s">
        <v>488</v>
      </c>
      <c r="F156">
        <v>2017</v>
      </c>
      <c r="G156" t="s">
        <v>489</v>
      </c>
      <c r="H156" t="s">
        <v>904</v>
      </c>
      <c r="I156" t="s">
        <v>905</v>
      </c>
      <c r="J156" t="s">
        <v>503</v>
      </c>
      <c r="K156" t="s">
        <v>27</v>
      </c>
      <c r="L156" t="b">
        <v>1</v>
      </c>
      <c r="M156" t="s">
        <v>906</v>
      </c>
      <c r="N156" t="str">
        <f>"842"</f>
        <v>842</v>
      </c>
      <c r="O156" t="s">
        <v>907</v>
      </c>
      <c r="P156" t="b">
        <v>1</v>
      </c>
      <c r="Q156" t="b">
        <v>0</v>
      </c>
      <c r="R156" t="str">
        <f>"9781781882641"</f>
        <v>9781781882641</v>
      </c>
      <c r="S156" t="str">
        <f>"9781781887363"</f>
        <v>9781781887363</v>
      </c>
      <c r="T156">
        <v>1081335145</v>
      </c>
    </row>
    <row r="157" spans="1:20" x14ac:dyDescent="0.25">
      <c r="A157">
        <v>1504760</v>
      </c>
      <c r="B157" t="s">
        <v>908</v>
      </c>
      <c r="D157" t="s">
        <v>131</v>
      </c>
      <c r="E157" t="s">
        <v>669</v>
      </c>
      <c r="F157">
        <v>2017</v>
      </c>
      <c r="G157" t="s">
        <v>670</v>
      </c>
      <c r="H157" t="s">
        <v>909</v>
      </c>
      <c r="I157" t="s">
        <v>910</v>
      </c>
      <c r="J157" t="s">
        <v>26</v>
      </c>
      <c r="K157" t="s">
        <v>48</v>
      </c>
      <c r="L157" t="b">
        <v>1</v>
      </c>
      <c r="M157" t="s">
        <v>911</v>
      </c>
      <c r="N157" t="str">
        <f>"822/.92"</f>
        <v>822/.92</v>
      </c>
      <c r="O157" t="s">
        <v>912</v>
      </c>
      <c r="P157" t="b">
        <v>1</v>
      </c>
      <c r="R157" t="str">
        <f>"9781786821416"</f>
        <v>9781786821416</v>
      </c>
      <c r="S157" t="str">
        <f>"9781786821423"</f>
        <v>9781786821423</v>
      </c>
      <c r="T157">
        <v>981210849</v>
      </c>
    </row>
    <row r="158" spans="1:20" x14ac:dyDescent="0.25">
      <c r="A158">
        <v>1504344</v>
      </c>
      <c r="B158" t="s">
        <v>913</v>
      </c>
      <c r="D158" t="s">
        <v>131</v>
      </c>
      <c r="E158" t="s">
        <v>669</v>
      </c>
      <c r="F158">
        <v>2017</v>
      </c>
      <c r="G158" t="s">
        <v>740</v>
      </c>
      <c r="H158" t="s">
        <v>914</v>
      </c>
      <c r="I158" t="s">
        <v>915</v>
      </c>
      <c r="J158" t="s">
        <v>26</v>
      </c>
      <c r="K158" t="s">
        <v>48</v>
      </c>
      <c r="L158" t="b">
        <v>1</v>
      </c>
      <c r="M158" t="s">
        <v>916</v>
      </c>
      <c r="N158" t="str">
        <f>"822.914"</f>
        <v>822.914</v>
      </c>
      <c r="P158" t="b">
        <v>1</v>
      </c>
      <c r="R158" t="str">
        <f>"9781840025989"</f>
        <v>9781840025989</v>
      </c>
      <c r="S158" t="str">
        <f>"9781783192724"</f>
        <v>9781783192724</v>
      </c>
      <c r="T158">
        <v>1024202349</v>
      </c>
    </row>
    <row r="159" spans="1:20" x14ac:dyDescent="0.25">
      <c r="A159">
        <v>1504340</v>
      </c>
      <c r="B159" t="s">
        <v>917</v>
      </c>
      <c r="C159" t="s">
        <v>918</v>
      </c>
      <c r="D159" t="s">
        <v>131</v>
      </c>
      <c r="E159" t="s">
        <v>669</v>
      </c>
      <c r="F159">
        <v>2017</v>
      </c>
      <c r="G159" t="s">
        <v>919</v>
      </c>
      <c r="H159" t="s">
        <v>920</v>
      </c>
      <c r="I159" t="s">
        <v>921</v>
      </c>
      <c r="J159" t="s">
        <v>26</v>
      </c>
      <c r="K159" t="s">
        <v>48</v>
      </c>
      <c r="L159" t="b">
        <v>1</v>
      </c>
      <c r="M159" t="s">
        <v>922</v>
      </c>
      <c r="N159" t="str">
        <f>"792.8/2092"</f>
        <v>792.8/2092</v>
      </c>
      <c r="P159" t="b">
        <v>1</v>
      </c>
      <c r="R159" t="str">
        <f>"9781783199891"</f>
        <v>9781783199891</v>
      </c>
      <c r="S159" t="str">
        <f>"9781783199907"</f>
        <v>9781783199907</v>
      </c>
      <c r="T159">
        <v>983209971</v>
      </c>
    </row>
    <row r="160" spans="1:20" x14ac:dyDescent="0.25">
      <c r="A160">
        <v>1504339</v>
      </c>
      <c r="B160" t="s">
        <v>923</v>
      </c>
      <c r="D160" t="s">
        <v>131</v>
      </c>
      <c r="E160" t="s">
        <v>669</v>
      </c>
      <c r="F160">
        <v>2017</v>
      </c>
      <c r="G160" t="s">
        <v>670</v>
      </c>
      <c r="H160" t="s">
        <v>924</v>
      </c>
      <c r="I160" t="s">
        <v>925</v>
      </c>
      <c r="J160" t="s">
        <v>26</v>
      </c>
      <c r="K160" t="s">
        <v>48</v>
      </c>
      <c r="L160" t="b">
        <v>1</v>
      </c>
      <c r="M160" t="s">
        <v>926</v>
      </c>
      <c r="N160" t="str">
        <f>"822.92"</f>
        <v>822.92</v>
      </c>
      <c r="P160" t="b">
        <v>1</v>
      </c>
      <c r="R160" t="str">
        <f>"9781840026641"</f>
        <v>9781840026641</v>
      </c>
      <c r="S160" t="str">
        <f>"9781783194483"</f>
        <v>9781783194483</v>
      </c>
      <c r="T160">
        <v>1024200844</v>
      </c>
    </row>
    <row r="161" spans="1:20" x14ac:dyDescent="0.25">
      <c r="A161">
        <v>1504338</v>
      </c>
      <c r="B161" t="s">
        <v>927</v>
      </c>
      <c r="C161" t="s">
        <v>928</v>
      </c>
      <c r="D161" t="s">
        <v>131</v>
      </c>
      <c r="E161" t="s">
        <v>669</v>
      </c>
      <c r="F161">
        <v>2017</v>
      </c>
      <c r="G161" t="s">
        <v>489</v>
      </c>
      <c r="H161" t="s">
        <v>929</v>
      </c>
      <c r="I161" t="s">
        <v>930</v>
      </c>
      <c r="J161" t="s">
        <v>26</v>
      </c>
      <c r="K161" t="s">
        <v>48</v>
      </c>
      <c r="L161" t="b">
        <v>1</v>
      </c>
      <c r="M161" t="s">
        <v>931</v>
      </c>
      <c r="N161" t="str">
        <f>"792.094"</f>
        <v>792.094</v>
      </c>
      <c r="P161" t="b">
        <v>1</v>
      </c>
      <c r="R161" t="str">
        <f>"9781840022209"</f>
        <v>9781840022209</v>
      </c>
      <c r="S161" t="str">
        <f>"9781783192298"</f>
        <v>9781783192298</v>
      </c>
      <c r="T161">
        <v>1024190272</v>
      </c>
    </row>
    <row r="162" spans="1:20" x14ac:dyDescent="0.25">
      <c r="A162">
        <v>1504337</v>
      </c>
      <c r="B162" t="s">
        <v>932</v>
      </c>
      <c r="D162" t="s">
        <v>131</v>
      </c>
      <c r="E162" t="s">
        <v>669</v>
      </c>
      <c r="F162">
        <v>2017</v>
      </c>
      <c r="G162" t="s">
        <v>670</v>
      </c>
      <c r="H162" t="s">
        <v>933</v>
      </c>
      <c r="I162" t="s">
        <v>934</v>
      </c>
      <c r="J162" t="s">
        <v>26</v>
      </c>
      <c r="K162" t="s">
        <v>48</v>
      </c>
      <c r="L162" t="b">
        <v>1</v>
      </c>
      <c r="M162" t="s">
        <v>935</v>
      </c>
      <c r="N162" t="str">
        <f>"820"</f>
        <v>820</v>
      </c>
      <c r="P162" t="b">
        <v>1</v>
      </c>
      <c r="R162" t="str">
        <f>"9781840028584"</f>
        <v>9781840028584</v>
      </c>
      <c r="S162" t="str">
        <f>"9781783194391"</f>
        <v>9781783194391</v>
      </c>
      <c r="T162">
        <v>1024210342</v>
      </c>
    </row>
    <row r="163" spans="1:20" x14ac:dyDescent="0.25">
      <c r="A163">
        <v>1504336</v>
      </c>
      <c r="B163" t="s">
        <v>936</v>
      </c>
      <c r="D163" t="s">
        <v>131</v>
      </c>
      <c r="E163" t="s">
        <v>669</v>
      </c>
      <c r="F163">
        <v>2017</v>
      </c>
      <c r="G163" t="s">
        <v>670</v>
      </c>
      <c r="H163" t="s">
        <v>937</v>
      </c>
      <c r="I163" t="s">
        <v>938</v>
      </c>
      <c r="J163" t="s">
        <v>26</v>
      </c>
      <c r="K163" t="s">
        <v>48</v>
      </c>
      <c r="L163" t="b">
        <v>1</v>
      </c>
      <c r="M163" t="s">
        <v>939</v>
      </c>
      <c r="N163" t="str">
        <f>"822.912"</f>
        <v>822.912</v>
      </c>
      <c r="P163" t="b">
        <v>1</v>
      </c>
      <c r="R163" t="str">
        <f>"9781849434423"</f>
        <v>9781849434423</v>
      </c>
      <c r="S163" t="str">
        <f>"9781783192168"</f>
        <v>9781783192168</v>
      </c>
      <c r="T163">
        <v>1024200236</v>
      </c>
    </row>
    <row r="164" spans="1:20" x14ac:dyDescent="0.25">
      <c r="A164">
        <v>1504335</v>
      </c>
      <c r="B164" t="s">
        <v>940</v>
      </c>
      <c r="D164" t="s">
        <v>131</v>
      </c>
      <c r="E164" t="s">
        <v>669</v>
      </c>
      <c r="F164">
        <v>2017</v>
      </c>
      <c r="G164" t="s">
        <v>670</v>
      </c>
      <c r="H164" t="s">
        <v>937</v>
      </c>
      <c r="I164" t="s">
        <v>941</v>
      </c>
      <c r="J164" t="s">
        <v>26</v>
      </c>
      <c r="K164" t="s">
        <v>48</v>
      </c>
      <c r="L164" t="b">
        <v>1</v>
      </c>
      <c r="M164" t="s">
        <v>939</v>
      </c>
      <c r="N164" t="str">
        <f>"822.912"</f>
        <v>822.912</v>
      </c>
      <c r="P164" t="b">
        <v>1</v>
      </c>
      <c r="R164" t="str">
        <f>"9781870259194"</f>
        <v>9781870259194</v>
      </c>
      <c r="S164" t="str">
        <f>"9781783192199"</f>
        <v>9781783192199</v>
      </c>
      <c r="T164">
        <v>1022644464</v>
      </c>
    </row>
    <row r="165" spans="1:20" x14ac:dyDescent="0.25">
      <c r="A165">
        <v>1504334</v>
      </c>
      <c r="B165" t="s">
        <v>942</v>
      </c>
      <c r="D165" t="s">
        <v>131</v>
      </c>
      <c r="E165" t="s">
        <v>669</v>
      </c>
      <c r="F165">
        <v>2017</v>
      </c>
      <c r="G165" t="s">
        <v>670</v>
      </c>
      <c r="H165" t="s">
        <v>943</v>
      </c>
      <c r="I165" t="s">
        <v>944</v>
      </c>
      <c r="J165" t="s">
        <v>26</v>
      </c>
      <c r="K165" t="s">
        <v>48</v>
      </c>
      <c r="L165" t="b">
        <v>1</v>
      </c>
      <c r="M165" t="s">
        <v>945</v>
      </c>
      <c r="N165" t="str">
        <f>"812.6"</f>
        <v>812.6</v>
      </c>
      <c r="P165" t="b">
        <v>1</v>
      </c>
      <c r="R165" t="str">
        <f>"9781840026931"</f>
        <v>9781840026931</v>
      </c>
      <c r="S165" t="str">
        <f>"9781783194513"</f>
        <v>9781783194513</v>
      </c>
      <c r="T165">
        <v>1022631883</v>
      </c>
    </row>
    <row r="166" spans="1:20" x14ac:dyDescent="0.25">
      <c r="A166">
        <v>1503816</v>
      </c>
      <c r="B166" t="s">
        <v>946</v>
      </c>
      <c r="D166" t="s">
        <v>131</v>
      </c>
      <c r="E166" t="s">
        <v>669</v>
      </c>
      <c r="F166">
        <v>2017</v>
      </c>
      <c r="G166" t="s">
        <v>670</v>
      </c>
      <c r="H166" t="s">
        <v>947</v>
      </c>
      <c r="I166" t="s">
        <v>948</v>
      </c>
      <c r="J166" t="s">
        <v>26</v>
      </c>
      <c r="K166" t="s">
        <v>48</v>
      </c>
      <c r="L166" t="b">
        <v>1</v>
      </c>
      <c r="M166" t="s">
        <v>949</v>
      </c>
      <c r="N166" t="str">
        <f>"822/.92"</f>
        <v>822/.92</v>
      </c>
      <c r="O166" t="s">
        <v>912</v>
      </c>
      <c r="P166" t="b">
        <v>1</v>
      </c>
      <c r="R166" t="str">
        <f>"9781786821195"</f>
        <v>9781786821195</v>
      </c>
      <c r="S166" t="str">
        <f>"9781786821201"</f>
        <v>9781786821201</v>
      </c>
      <c r="T166">
        <v>980850543</v>
      </c>
    </row>
    <row r="167" spans="1:20" x14ac:dyDescent="0.25">
      <c r="A167">
        <v>1503815</v>
      </c>
      <c r="B167" t="s">
        <v>950</v>
      </c>
      <c r="D167" t="s">
        <v>131</v>
      </c>
      <c r="E167" t="s">
        <v>669</v>
      </c>
      <c r="F167">
        <v>2017</v>
      </c>
      <c r="G167" t="s">
        <v>670</v>
      </c>
      <c r="H167" t="s">
        <v>951</v>
      </c>
      <c r="I167" t="s">
        <v>952</v>
      </c>
      <c r="J167" t="s">
        <v>26</v>
      </c>
      <c r="K167" t="s">
        <v>48</v>
      </c>
      <c r="L167" t="b">
        <v>1</v>
      </c>
      <c r="M167" t="s">
        <v>953</v>
      </c>
      <c r="N167" t="str">
        <f>"822.92"</f>
        <v>822.92</v>
      </c>
      <c r="P167" t="b">
        <v>1</v>
      </c>
      <c r="R167" t="str">
        <f>"9781786821683"</f>
        <v>9781786821683</v>
      </c>
      <c r="S167" t="str">
        <f>"9781786821690"</f>
        <v>9781786821690</v>
      </c>
      <c r="T167">
        <v>980837218</v>
      </c>
    </row>
    <row r="168" spans="1:20" x14ac:dyDescent="0.25">
      <c r="A168">
        <v>1503814</v>
      </c>
      <c r="B168" t="s">
        <v>954</v>
      </c>
      <c r="D168" t="s">
        <v>131</v>
      </c>
      <c r="E168" t="s">
        <v>669</v>
      </c>
      <c r="F168">
        <v>2017</v>
      </c>
      <c r="G168" t="s">
        <v>670</v>
      </c>
      <c r="H168" t="s">
        <v>955</v>
      </c>
      <c r="I168" t="s">
        <v>956</v>
      </c>
      <c r="J168" t="s">
        <v>26</v>
      </c>
      <c r="K168" t="s">
        <v>48</v>
      </c>
      <c r="L168" t="b">
        <v>1</v>
      </c>
      <c r="M168" t="s">
        <v>957</v>
      </c>
      <c r="N168" t="str">
        <f>"822.92"</f>
        <v>822.92</v>
      </c>
      <c r="P168" t="b">
        <v>1</v>
      </c>
      <c r="R168" t="str">
        <f>"9781786821669"</f>
        <v>9781786821669</v>
      </c>
      <c r="S168" t="str">
        <f>"9781786821676"</f>
        <v>9781786821676</v>
      </c>
      <c r="T168">
        <v>980789056</v>
      </c>
    </row>
    <row r="169" spans="1:20" x14ac:dyDescent="0.25">
      <c r="A169">
        <v>1503813</v>
      </c>
      <c r="B169" t="s">
        <v>958</v>
      </c>
      <c r="D169" t="s">
        <v>131</v>
      </c>
      <c r="E169" t="s">
        <v>669</v>
      </c>
      <c r="F169">
        <v>2017</v>
      </c>
      <c r="G169" t="s">
        <v>959</v>
      </c>
      <c r="H169" t="s">
        <v>960</v>
      </c>
      <c r="I169" t="s">
        <v>961</v>
      </c>
      <c r="J169" t="s">
        <v>26</v>
      </c>
      <c r="K169" t="s">
        <v>48</v>
      </c>
      <c r="L169" t="b">
        <v>1</v>
      </c>
      <c r="M169" t="s">
        <v>962</v>
      </c>
      <c r="N169" t="str">
        <f>"822/.92"</f>
        <v>822/.92</v>
      </c>
      <c r="O169" t="s">
        <v>912</v>
      </c>
      <c r="P169" t="b">
        <v>1</v>
      </c>
      <c r="R169" t="str">
        <f>"9781786821492"</f>
        <v>9781786821492</v>
      </c>
      <c r="S169" t="str">
        <f>"9781786821508"</f>
        <v>9781786821508</v>
      </c>
      <c r="T169">
        <v>980202968</v>
      </c>
    </row>
    <row r="170" spans="1:20" x14ac:dyDescent="0.25">
      <c r="A170">
        <v>1503812</v>
      </c>
      <c r="B170" t="s">
        <v>963</v>
      </c>
      <c r="D170" t="s">
        <v>131</v>
      </c>
      <c r="E170" t="s">
        <v>669</v>
      </c>
      <c r="F170">
        <v>2017</v>
      </c>
      <c r="G170" t="s">
        <v>670</v>
      </c>
      <c r="H170" t="s">
        <v>964</v>
      </c>
      <c r="J170" t="s">
        <v>26</v>
      </c>
      <c r="K170" t="s">
        <v>48</v>
      </c>
      <c r="L170" t="b">
        <v>1</v>
      </c>
      <c r="M170" t="s">
        <v>965</v>
      </c>
      <c r="N170" t="str">
        <f>"822/.92"</f>
        <v>822/.92</v>
      </c>
      <c r="O170" t="s">
        <v>912</v>
      </c>
      <c r="P170" t="b">
        <v>1</v>
      </c>
      <c r="R170" t="str">
        <f>"9781786821621"</f>
        <v>9781786821621</v>
      </c>
      <c r="S170" t="str">
        <f>"9781786821638"</f>
        <v>9781786821638</v>
      </c>
      <c r="T170">
        <v>980828302</v>
      </c>
    </row>
    <row r="171" spans="1:20" x14ac:dyDescent="0.25">
      <c r="A171">
        <v>1503586</v>
      </c>
      <c r="B171" t="s">
        <v>966</v>
      </c>
      <c r="D171" t="s">
        <v>131</v>
      </c>
      <c r="E171" t="s">
        <v>669</v>
      </c>
      <c r="F171">
        <v>2017</v>
      </c>
      <c r="G171" t="s">
        <v>701</v>
      </c>
      <c r="H171" t="s">
        <v>967</v>
      </c>
      <c r="I171" t="s">
        <v>968</v>
      </c>
      <c r="J171" t="s">
        <v>26</v>
      </c>
      <c r="K171" t="s">
        <v>48</v>
      </c>
      <c r="L171" t="b">
        <v>1</v>
      </c>
      <c r="M171" t="s">
        <v>969</v>
      </c>
      <c r="N171" t="str">
        <f>"842/.4"</f>
        <v>842/.4</v>
      </c>
      <c r="O171" t="s">
        <v>970</v>
      </c>
      <c r="P171" t="b">
        <v>1</v>
      </c>
      <c r="R171" t="str">
        <f>"9781786820273"</f>
        <v>9781786820273</v>
      </c>
      <c r="S171" t="str">
        <f>"9781786820280"</f>
        <v>9781786820280</v>
      </c>
      <c r="T171">
        <v>978665300</v>
      </c>
    </row>
    <row r="172" spans="1:20" x14ac:dyDescent="0.25">
      <c r="A172">
        <v>1503585</v>
      </c>
      <c r="B172" t="s">
        <v>971</v>
      </c>
      <c r="D172" t="s">
        <v>131</v>
      </c>
      <c r="E172" t="s">
        <v>669</v>
      </c>
      <c r="F172">
        <v>2017</v>
      </c>
      <c r="G172" t="s">
        <v>701</v>
      </c>
      <c r="H172" t="s">
        <v>972</v>
      </c>
      <c r="I172" t="s">
        <v>973</v>
      </c>
      <c r="J172" t="s">
        <v>26</v>
      </c>
      <c r="K172" t="s">
        <v>48</v>
      </c>
      <c r="L172" t="b">
        <v>1</v>
      </c>
      <c r="M172" t="s">
        <v>974</v>
      </c>
      <c r="N172" t="str">
        <f>"842.9208"</f>
        <v>842.9208</v>
      </c>
      <c r="P172" t="b">
        <v>1</v>
      </c>
      <c r="R172" t="str">
        <f>"9781786820723"</f>
        <v>9781786820723</v>
      </c>
      <c r="S172" t="str">
        <f>"9781786820730"</f>
        <v>9781786820730</v>
      </c>
      <c r="T172">
        <v>976261083</v>
      </c>
    </row>
    <row r="173" spans="1:20" x14ac:dyDescent="0.25">
      <c r="A173">
        <v>1503220</v>
      </c>
      <c r="B173" t="s">
        <v>975</v>
      </c>
      <c r="D173" t="s">
        <v>203</v>
      </c>
      <c r="E173" t="s">
        <v>663</v>
      </c>
      <c r="F173">
        <v>2016</v>
      </c>
      <c r="G173" t="s">
        <v>976</v>
      </c>
      <c r="H173" t="s">
        <v>977</v>
      </c>
      <c r="I173" t="s">
        <v>978</v>
      </c>
      <c r="J173" t="s">
        <v>26</v>
      </c>
      <c r="K173" t="s">
        <v>48</v>
      </c>
      <c r="L173" t="b">
        <v>1</v>
      </c>
      <c r="M173" t="s">
        <v>979</v>
      </c>
      <c r="N173" t="str">
        <f>"792"</f>
        <v>792</v>
      </c>
      <c r="P173" t="b">
        <v>0</v>
      </c>
      <c r="R173" t="str">
        <f>"9781785581748"</f>
        <v>9781785581748</v>
      </c>
      <c r="S173" t="str">
        <f>"9781783238651"</f>
        <v>9781783238651</v>
      </c>
      <c r="T173">
        <v>1030304118</v>
      </c>
    </row>
    <row r="174" spans="1:20" x14ac:dyDescent="0.25">
      <c r="A174">
        <v>1503219</v>
      </c>
      <c r="B174" t="s">
        <v>980</v>
      </c>
      <c r="D174" t="s">
        <v>203</v>
      </c>
      <c r="E174" t="s">
        <v>663</v>
      </c>
      <c r="F174">
        <v>2016</v>
      </c>
      <c r="G174" t="s">
        <v>976</v>
      </c>
      <c r="H174" t="s">
        <v>981</v>
      </c>
      <c r="I174" t="s">
        <v>982</v>
      </c>
      <c r="J174" t="s">
        <v>26</v>
      </c>
      <c r="K174" t="s">
        <v>48</v>
      </c>
      <c r="L174" t="b">
        <v>1</v>
      </c>
      <c r="M174" t="s">
        <v>979</v>
      </c>
      <c r="N174" t="str">
        <f>"792.02/807"</f>
        <v>792.02/807</v>
      </c>
      <c r="P174" t="b">
        <v>0</v>
      </c>
      <c r="R174" t="str">
        <f>"9781785581731"</f>
        <v>9781785581731</v>
      </c>
      <c r="S174" t="str">
        <f>"9781783238644"</f>
        <v>9781783238644</v>
      </c>
      <c r="T174">
        <v>1080638398</v>
      </c>
    </row>
    <row r="175" spans="1:20" x14ac:dyDescent="0.25">
      <c r="A175">
        <v>1503218</v>
      </c>
      <c r="B175" t="s">
        <v>983</v>
      </c>
      <c r="D175" t="s">
        <v>203</v>
      </c>
      <c r="E175" t="s">
        <v>663</v>
      </c>
      <c r="F175">
        <v>2016</v>
      </c>
      <c r="G175" t="s">
        <v>984</v>
      </c>
      <c r="H175" t="s">
        <v>665</v>
      </c>
      <c r="I175" t="s">
        <v>985</v>
      </c>
      <c r="J175" t="s">
        <v>26</v>
      </c>
      <c r="K175" t="s">
        <v>48</v>
      </c>
      <c r="L175" t="b">
        <v>1</v>
      </c>
      <c r="M175" t="s">
        <v>986</v>
      </c>
      <c r="N175" t="str">
        <f>"780.76"</f>
        <v>780.76</v>
      </c>
      <c r="O175" t="s">
        <v>987</v>
      </c>
      <c r="P175" t="b">
        <v>0</v>
      </c>
      <c r="R175" t="str">
        <f>"9781785581687"</f>
        <v>9781785581687</v>
      </c>
      <c r="S175" t="str">
        <f>"9781783238798"</f>
        <v>9781783238798</v>
      </c>
      <c r="T175">
        <v>1030304147</v>
      </c>
    </row>
    <row r="176" spans="1:20" x14ac:dyDescent="0.25">
      <c r="A176">
        <v>1503217</v>
      </c>
      <c r="B176" t="s">
        <v>988</v>
      </c>
      <c r="D176" t="s">
        <v>203</v>
      </c>
      <c r="E176" t="s">
        <v>663</v>
      </c>
      <c r="F176">
        <v>2016</v>
      </c>
      <c r="G176" t="s">
        <v>989</v>
      </c>
      <c r="H176" t="s">
        <v>665</v>
      </c>
      <c r="I176" t="s">
        <v>985</v>
      </c>
      <c r="J176" t="s">
        <v>26</v>
      </c>
      <c r="K176" t="s">
        <v>48</v>
      </c>
      <c r="L176" t="b">
        <v>1</v>
      </c>
      <c r="M176" t="s">
        <v>990</v>
      </c>
      <c r="N176" t="str">
        <f>"780.76"</f>
        <v>780.76</v>
      </c>
      <c r="P176" t="b">
        <v>0</v>
      </c>
      <c r="R176" t="str">
        <f>"9781785581663"</f>
        <v>9781785581663</v>
      </c>
      <c r="S176" t="str">
        <f>"9781783238705"</f>
        <v>9781783238705</v>
      </c>
      <c r="T176">
        <v>1030304189</v>
      </c>
    </row>
    <row r="177" spans="1:20" x14ac:dyDescent="0.25">
      <c r="A177">
        <v>1503216</v>
      </c>
      <c r="B177" t="s">
        <v>991</v>
      </c>
      <c r="D177" t="s">
        <v>203</v>
      </c>
      <c r="E177" t="s">
        <v>663</v>
      </c>
      <c r="F177">
        <v>2016</v>
      </c>
      <c r="G177" t="s">
        <v>989</v>
      </c>
      <c r="H177" t="s">
        <v>665</v>
      </c>
      <c r="I177" t="s">
        <v>992</v>
      </c>
      <c r="J177" t="s">
        <v>26</v>
      </c>
      <c r="K177" t="s">
        <v>48</v>
      </c>
      <c r="L177" t="b">
        <v>1</v>
      </c>
      <c r="M177" t="s">
        <v>993</v>
      </c>
      <c r="N177" t="str">
        <f>"780.76"</f>
        <v>780.76</v>
      </c>
      <c r="P177" t="b">
        <v>0</v>
      </c>
      <c r="R177" t="str">
        <f>"9781785581595"</f>
        <v>9781785581595</v>
      </c>
      <c r="S177" t="str">
        <f>"9781783238682"</f>
        <v>9781783238682</v>
      </c>
      <c r="T177">
        <v>978618086</v>
      </c>
    </row>
    <row r="178" spans="1:20" x14ac:dyDescent="0.25">
      <c r="A178">
        <v>1503215</v>
      </c>
      <c r="B178" t="s">
        <v>994</v>
      </c>
      <c r="D178" t="s">
        <v>203</v>
      </c>
      <c r="E178" t="s">
        <v>663</v>
      </c>
      <c r="F178">
        <v>2016</v>
      </c>
      <c r="G178" t="s">
        <v>989</v>
      </c>
      <c r="H178" t="s">
        <v>665</v>
      </c>
      <c r="I178" t="s">
        <v>995</v>
      </c>
      <c r="J178" t="s">
        <v>26</v>
      </c>
      <c r="K178" t="s">
        <v>48</v>
      </c>
      <c r="L178" t="b">
        <v>1</v>
      </c>
      <c r="M178" t="s">
        <v>996</v>
      </c>
      <c r="N178" t="str">
        <f>"780.76"</f>
        <v>780.76</v>
      </c>
      <c r="P178" t="b">
        <v>0</v>
      </c>
      <c r="R178" t="str">
        <f>"9781785581526"</f>
        <v>9781785581526</v>
      </c>
      <c r="S178" t="str">
        <f>"9781783238736"</f>
        <v>9781783238736</v>
      </c>
      <c r="T178">
        <v>1030303148</v>
      </c>
    </row>
    <row r="179" spans="1:20" x14ac:dyDescent="0.25">
      <c r="A179">
        <v>1500969</v>
      </c>
      <c r="B179" t="s">
        <v>997</v>
      </c>
      <c r="C179" t="s">
        <v>998</v>
      </c>
      <c r="D179" t="s">
        <v>999</v>
      </c>
      <c r="E179" t="s">
        <v>1000</v>
      </c>
      <c r="F179">
        <v>2006</v>
      </c>
      <c r="G179" t="s">
        <v>1001</v>
      </c>
      <c r="H179" t="s">
        <v>1002</v>
      </c>
      <c r="I179" t="s">
        <v>1003</v>
      </c>
      <c r="J179" t="s">
        <v>26</v>
      </c>
      <c r="K179" t="s">
        <v>27</v>
      </c>
      <c r="L179" t="b">
        <v>1</v>
      </c>
      <c r="M179" t="s">
        <v>1004</v>
      </c>
      <c r="N179" t="str">
        <f>"372.126"</f>
        <v>372.126</v>
      </c>
      <c r="O179" t="s">
        <v>1005</v>
      </c>
      <c r="P179" t="b">
        <v>0</v>
      </c>
      <c r="R179" t="str">
        <f>"9781553790877"</f>
        <v>9781553790877</v>
      </c>
      <c r="S179" t="str">
        <f>"9781553792437"</f>
        <v>9781553792437</v>
      </c>
      <c r="T179">
        <v>980789670</v>
      </c>
    </row>
    <row r="180" spans="1:20" x14ac:dyDescent="0.25">
      <c r="A180">
        <v>1500968</v>
      </c>
      <c r="B180" t="s">
        <v>1006</v>
      </c>
      <c r="C180" t="s">
        <v>998</v>
      </c>
      <c r="D180" t="s">
        <v>999</v>
      </c>
      <c r="E180" t="s">
        <v>1000</v>
      </c>
      <c r="F180">
        <v>2006</v>
      </c>
      <c r="G180" t="s">
        <v>1001</v>
      </c>
      <c r="H180" t="s">
        <v>1007</v>
      </c>
      <c r="I180" t="s">
        <v>1008</v>
      </c>
      <c r="J180" t="s">
        <v>26</v>
      </c>
      <c r="K180" t="s">
        <v>27</v>
      </c>
      <c r="L180" t="b">
        <v>1</v>
      </c>
      <c r="M180" t="s">
        <v>1009</v>
      </c>
      <c r="N180" t="str">
        <f>"372.1"</f>
        <v>372.1</v>
      </c>
      <c r="O180" t="s">
        <v>1005</v>
      </c>
      <c r="P180" t="b">
        <v>0</v>
      </c>
      <c r="R180" t="str">
        <f>"9781553790891"</f>
        <v>9781553790891</v>
      </c>
      <c r="S180" t="str">
        <f>"9781553792451"</f>
        <v>9781553792451</v>
      </c>
      <c r="T180">
        <v>980853573</v>
      </c>
    </row>
    <row r="181" spans="1:20" x14ac:dyDescent="0.25">
      <c r="A181">
        <v>1500947</v>
      </c>
      <c r="B181" t="s">
        <v>1010</v>
      </c>
      <c r="C181" t="s">
        <v>1011</v>
      </c>
      <c r="D181" t="s">
        <v>999</v>
      </c>
      <c r="E181" t="s">
        <v>1000</v>
      </c>
      <c r="F181">
        <v>2010</v>
      </c>
      <c r="G181" t="s">
        <v>1001</v>
      </c>
      <c r="H181" t="s">
        <v>1012</v>
      </c>
      <c r="I181" t="s">
        <v>1013</v>
      </c>
      <c r="J181" t="s">
        <v>26</v>
      </c>
      <c r="K181" t="s">
        <v>27</v>
      </c>
      <c r="L181" t="b">
        <v>1</v>
      </c>
      <c r="M181" t="s">
        <v>1014</v>
      </c>
      <c r="N181" t="str">
        <f>"371.39/9"</f>
        <v>371.39/9</v>
      </c>
      <c r="P181" t="b">
        <v>0</v>
      </c>
      <c r="R181" t="str">
        <f>"9781553792499"</f>
        <v>9781553792499</v>
      </c>
      <c r="S181" t="str">
        <f>"9781553792536"</f>
        <v>9781553792536</v>
      </c>
      <c r="T181">
        <v>1066496042</v>
      </c>
    </row>
    <row r="182" spans="1:20" x14ac:dyDescent="0.25">
      <c r="A182">
        <v>1498665</v>
      </c>
      <c r="B182" t="s">
        <v>1015</v>
      </c>
      <c r="D182" t="s">
        <v>22</v>
      </c>
      <c r="E182" t="s">
        <v>22</v>
      </c>
      <c r="F182">
        <v>2017</v>
      </c>
      <c r="G182" t="s">
        <v>1016</v>
      </c>
      <c r="H182" t="s">
        <v>1017</v>
      </c>
      <c r="I182" t="s">
        <v>1018</v>
      </c>
      <c r="J182" t="s">
        <v>26</v>
      </c>
      <c r="K182" t="s">
        <v>27</v>
      </c>
      <c r="L182" t="b">
        <v>1</v>
      </c>
      <c r="M182" t="s">
        <v>1019</v>
      </c>
      <c r="N182" t="str">
        <f>"507.20492"</f>
        <v>507.20492</v>
      </c>
      <c r="P182" t="b">
        <v>0</v>
      </c>
      <c r="Q182" t="b">
        <v>0</v>
      </c>
      <c r="R182" t="str">
        <f>"9789462982796"</f>
        <v>9789462982796</v>
      </c>
      <c r="S182" t="str">
        <f>"9789048532827"</f>
        <v>9789048532827</v>
      </c>
      <c r="T182">
        <v>981912344</v>
      </c>
    </row>
    <row r="183" spans="1:20" x14ac:dyDescent="0.25">
      <c r="A183">
        <v>1498664</v>
      </c>
      <c r="B183" t="s">
        <v>1020</v>
      </c>
      <c r="D183" t="s">
        <v>22</v>
      </c>
      <c r="E183" t="s">
        <v>22</v>
      </c>
      <c r="F183">
        <v>2017</v>
      </c>
      <c r="G183" t="s">
        <v>57</v>
      </c>
      <c r="H183" t="s">
        <v>1021</v>
      </c>
      <c r="I183" t="s">
        <v>1022</v>
      </c>
      <c r="J183" t="s">
        <v>26</v>
      </c>
      <c r="K183" t="s">
        <v>27</v>
      </c>
      <c r="L183" t="b">
        <v>1</v>
      </c>
      <c r="M183" t="s">
        <v>1023</v>
      </c>
      <c r="N183" t="str">
        <f>"331.7/62382"</f>
        <v>331.7/62382</v>
      </c>
      <c r="O183" t="s">
        <v>1024</v>
      </c>
      <c r="P183" t="b">
        <v>0</v>
      </c>
      <c r="Q183" t="b">
        <v>0</v>
      </c>
      <c r="R183" t="str">
        <f>"9789462981157"</f>
        <v>9789462981157</v>
      </c>
      <c r="S183" t="str">
        <f>"9789048530724"</f>
        <v>9789048530724</v>
      </c>
      <c r="T183">
        <v>981912347</v>
      </c>
    </row>
    <row r="184" spans="1:20" x14ac:dyDescent="0.25">
      <c r="A184">
        <v>1490089</v>
      </c>
      <c r="B184" t="s">
        <v>1025</v>
      </c>
      <c r="D184" t="s">
        <v>487</v>
      </c>
      <c r="E184" t="s">
        <v>488</v>
      </c>
      <c r="F184">
        <v>2017</v>
      </c>
      <c r="G184" t="s">
        <v>1026</v>
      </c>
      <c r="H184" t="s">
        <v>1027</v>
      </c>
      <c r="J184" t="s">
        <v>26</v>
      </c>
      <c r="K184" t="s">
        <v>27</v>
      </c>
      <c r="L184" t="b">
        <v>1</v>
      </c>
      <c r="M184" t="s">
        <v>1028</v>
      </c>
      <c r="N184" t="str">
        <f>"823.8"</f>
        <v>823.8</v>
      </c>
      <c r="O184" t="s">
        <v>1029</v>
      </c>
      <c r="P184" t="b">
        <v>0</v>
      </c>
      <c r="Q184" t="b">
        <v>0</v>
      </c>
      <c r="R184" t="str">
        <f>"9781781880104"</f>
        <v>9781781880104</v>
      </c>
      <c r="S184" t="str">
        <f>"9781781886151"</f>
        <v>9781781886151</v>
      </c>
      <c r="T184">
        <v>980272437</v>
      </c>
    </row>
    <row r="185" spans="1:20" x14ac:dyDescent="0.25">
      <c r="A185">
        <v>1487815</v>
      </c>
      <c r="B185" t="s">
        <v>1030</v>
      </c>
      <c r="C185" t="s">
        <v>1031</v>
      </c>
      <c r="D185" t="s">
        <v>1032</v>
      </c>
      <c r="E185" t="s">
        <v>1033</v>
      </c>
      <c r="F185">
        <v>2009</v>
      </c>
      <c r="G185" t="s">
        <v>1034</v>
      </c>
      <c r="H185" t="s">
        <v>1035</v>
      </c>
      <c r="J185" t="s">
        <v>26</v>
      </c>
      <c r="K185" t="s">
        <v>27</v>
      </c>
      <c r="L185" t="b">
        <v>1</v>
      </c>
      <c r="M185" t="s">
        <v>1036</v>
      </c>
      <c r="N185" t="str">
        <f>"294.5/92304521"</f>
        <v>294.5/92304521</v>
      </c>
      <c r="O185" t="s">
        <v>1037</v>
      </c>
      <c r="P185" t="b">
        <v>1</v>
      </c>
      <c r="R185" t="str">
        <f>"9780814717059"</f>
        <v>9780814717059</v>
      </c>
      <c r="S185" t="str">
        <f>"9780814717066"</f>
        <v>9780814717066</v>
      </c>
      <c r="T185">
        <v>1030625062</v>
      </c>
    </row>
    <row r="186" spans="1:20" x14ac:dyDescent="0.25">
      <c r="A186">
        <v>1487812</v>
      </c>
      <c r="B186" t="s">
        <v>1038</v>
      </c>
      <c r="C186" t="s">
        <v>1039</v>
      </c>
      <c r="D186" t="s">
        <v>1032</v>
      </c>
      <c r="E186" t="s">
        <v>1033</v>
      </c>
      <c r="F186">
        <v>2009</v>
      </c>
      <c r="G186" t="s">
        <v>1034</v>
      </c>
      <c r="H186" t="s">
        <v>1040</v>
      </c>
      <c r="I186" t="s">
        <v>1041</v>
      </c>
      <c r="J186" t="s">
        <v>26</v>
      </c>
      <c r="K186" t="s">
        <v>27</v>
      </c>
      <c r="L186" t="b">
        <v>1</v>
      </c>
      <c r="M186" t="s">
        <v>1042</v>
      </c>
      <c r="N186" t="str">
        <f>"294.5/92304521"</f>
        <v>294.5/92304521</v>
      </c>
      <c r="O186" t="s">
        <v>1037</v>
      </c>
      <c r="P186" t="b">
        <v>1</v>
      </c>
      <c r="R186" t="str">
        <f>"9780814794531"</f>
        <v>9780814794531</v>
      </c>
      <c r="S186" t="str">
        <f>"9780814794548"</f>
        <v>9780814794548</v>
      </c>
      <c r="T186">
        <v>1019873184</v>
      </c>
    </row>
    <row r="187" spans="1:20" x14ac:dyDescent="0.25">
      <c r="A187">
        <v>1487649</v>
      </c>
      <c r="B187" t="s">
        <v>1043</v>
      </c>
      <c r="D187" t="s">
        <v>1032</v>
      </c>
      <c r="E187" t="s">
        <v>1033</v>
      </c>
      <c r="F187">
        <v>2009</v>
      </c>
      <c r="G187" t="s">
        <v>1034</v>
      </c>
      <c r="H187" t="s">
        <v>1044</v>
      </c>
      <c r="I187" t="s">
        <v>1045</v>
      </c>
      <c r="J187" t="s">
        <v>26</v>
      </c>
      <c r="K187" t="s">
        <v>27</v>
      </c>
      <c r="L187" t="b">
        <v>1</v>
      </c>
      <c r="M187" t="s">
        <v>1046</v>
      </c>
      <c r="N187" t="str">
        <f>"294.3/82325"</f>
        <v>294.3/82325</v>
      </c>
      <c r="O187" t="s">
        <v>1047</v>
      </c>
      <c r="P187" t="b">
        <v>1</v>
      </c>
      <c r="R187" t="str">
        <f>"9780814795811"</f>
        <v>9780814795811</v>
      </c>
      <c r="S187" t="str">
        <f>"9780814795828"</f>
        <v>9780814795828</v>
      </c>
      <c r="T187">
        <v>1030625061</v>
      </c>
    </row>
    <row r="188" spans="1:20" x14ac:dyDescent="0.25">
      <c r="A188">
        <v>1487648</v>
      </c>
      <c r="B188" t="s">
        <v>1048</v>
      </c>
      <c r="D188" t="s">
        <v>1032</v>
      </c>
      <c r="E188" t="s">
        <v>1033</v>
      </c>
      <c r="F188">
        <v>2006</v>
      </c>
      <c r="G188" t="s">
        <v>1034</v>
      </c>
      <c r="H188" t="s">
        <v>1049</v>
      </c>
      <c r="I188" t="s">
        <v>1050</v>
      </c>
      <c r="J188" t="s">
        <v>26</v>
      </c>
      <c r="K188" t="s">
        <v>27</v>
      </c>
      <c r="L188" t="b">
        <v>1</v>
      </c>
      <c r="M188" t="s">
        <v>1051</v>
      </c>
      <c r="N188" t="str">
        <f>"891/.22"</f>
        <v>891/.22</v>
      </c>
      <c r="O188" t="s">
        <v>1052</v>
      </c>
      <c r="P188" t="b">
        <v>1</v>
      </c>
      <c r="R188" t="str">
        <f>"9780814719961"</f>
        <v>9780814719961</v>
      </c>
      <c r="S188" t="str">
        <f>"9780814720301"</f>
        <v>9780814720301</v>
      </c>
      <c r="T188">
        <v>608120419</v>
      </c>
    </row>
    <row r="189" spans="1:20" x14ac:dyDescent="0.25">
      <c r="A189">
        <v>1484395</v>
      </c>
      <c r="B189" t="s">
        <v>1053</v>
      </c>
      <c r="D189" t="s">
        <v>43</v>
      </c>
      <c r="E189" t="s">
        <v>44</v>
      </c>
      <c r="F189">
        <v>2013</v>
      </c>
      <c r="G189" t="s">
        <v>1054</v>
      </c>
      <c r="H189" t="s">
        <v>1055</v>
      </c>
      <c r="I189" t="s">
        <v>1056</v>
      </c>
      <c r="J189" t="s">
        <v>26</v>
      </c>
      <c r="K189" t="s">
        <v>48</v>
      </c>
      <c r="L189" t="b">
        <v>1</v>
      </c>
      <c r="M189" t="s">
        <v>1057</v>
      </c>
      <c r="N189" t="str">
        <f>"616.1/2"</f>
        <v>616.1/2</v>
      </c>
      <c r="P189" t="b">
        <v>0</v>
      </c>
      <c r="R189" t="str">
        <f>"9781451131604"</f>
        <v>9781451131604</v>
      </c>
      <c r="S189" t="str">
        <f>"9781451182071"</f>
        <v>9781451182071</v>
      </c>
      <c r="T189">
        <v>820121281</v>
      </c>
    </row>
    <row r="190" spans="1:20" x14ac:dyDescent="0.25">
      <c r="A190">
        <v>1484148</v>
      </c>
      <c r="B190" t="s">
        <v>1058</v>
      </c>
      <c r="D190" t="s">
        <v>131</v>
      </c>
      <c r="E190" t="s">
        <v>669</v>
      </c>
      <c r="F190">
        <v>2017</v>
      </c>
      <c r="G190" t="s">
        <v>740</v>
      </c>
      <c r="H190" t="s">
        <v>1059</v>
      </c>
      <c r="I190" t="s">
        <v>1060</v>
      </c>
      <c r="J190" t="s">
        <v>26</v>
      </c>
      <c r="K190" t="s">
        <v>48</v>
      </c>
      <c r="L190" t="b">
        <v>1</v>
      </c>
      <c r="M190" t="s">
        <v>1061</v>
      </c>
      <c r="N190" t="str">
        <f>"812"</f>
        <v>812</v>
      </c>
      <c r="P190" t="b">
        <v>1</v>
      </c>
      <c r="R190" t="str">
        <f>"9781783190393"</f>
        <v>9781783190393</v>
      </c>
      <c r="S190" t="str">
        <f>"9781783195381"</f>
        <v>9781783195381</v>
      </c>
      <c r="T190">
        <v>1024246235</v>
      </c>
    </row>
    <row r="191" spans="1:20" x14ac:dyDescent="0.25">
      <c r="A191">
        <v>1484139</v>
      </c>
      <c r="B191" t="s">
        <v>1062</v>
      </c>
      <c r="D191" t="s">
        <v>131</v>
      </c>
      <c r="E191" t="s">
        <v>669</v>
      </c>
      <c r="F191">
        <v>2017</v>
      </c>
      <c r="G191" t="s">
        <v>1063</v>
      </c>
      <c r="H191" t="s">
        <v>1064</v>
      </c>
      <c r="I191" t="s">
        <v>1065</v>
      </c>
      <c r="J191" t="s">
        <v>26</v>
      </c>
      <c r="K191" t="s">
        <v>48</v>
      </c>
      <c r="L191" t="b">
        <v>1</v>
      </c>
      <c r="M191" t="s">
        <v>1066</v>
      </c>
      <c r="N191" t="str">
        <f>"862.64"</f>
        <v>862.64</v>
      </c>
      <c r="P191" t="b">
        <v>1</v>
      </c>
      <c r="R191" t="str">
        <f>"9781840026962"</f>
        <v>9781840026962</v>
      </c>
      <c r="S191" t="str">
        <f>"9781783194490"</f>
        <v>9781783194490</v>
      </c>
      <c r="T191">
        <v>1024227504</v>
      </c>
    </row>
    <row r="192" spans="1:20" x14ac:dyDescent="0.25">
      <c r="A192">
        <v>1484138</v>
      </c>
      <c r="B192" t="s">
        <v>1067</v>
      </c>
      <c r="D192" t="s">
        <v>131</v>
      </c>
      <c r="E192" t="s">
        <v>669</v>
      </c>
      <c r="F192">
        <v>2017</v>
      </c>
      <c r="G192" t="s">
        <v>670</v>
      </c>
      <c r="H192" t="s">
        <v>1068</v>
      </c>
      <c r="I192" t="s">
        <v>1069</v>
      </c>
      <c r="J192" t="s">
        <v>26</v>
      </c>
      <c r="K192" t="s">
        <v>48</v>
      </c>
      <c r="L192" t="b">
        <v>1</v>
      </c>
      <c r="M192" t="s">
        <v>1070</v>
      </c>
      <c r="N192" t="str">
        <f>"822.92"</f>
        <v>822.92</v>
      </c>
      <c r="P192" t="b">
        <v>1</v>
      </c>
      <c r="R192" t="str">
        <f>"9781786821539"</f>
        <v>9781786821539</v>
      </c>
      <c r="S192" t="str">
        <f>"9781786821546"</f>
        <v>9781786821546</v>
      </c>
      <c r="T192">
        <v>978573991</v>
      </c>
    </row>
    <row r="193" spans="1:20" x14ac:dyDescent="0.25">
      <c r="A193">
        <v>1484137</v>
      </c>
      <c r="B193" t="s">
        <v>1071</v>
      </c>
      <c r="D193" t="s">
        <v>131</v>
      </c>
      <c r="E193" t="s">
        <v>669</v>
      </c>
      <c r="F193">
        <v>2017</v>
      </c>
      <c r="G193" t="s">
        <v>670</v>
      </c>
      <c r="H193" t="s">
        <v>1072</v>
      </c>
      <c r="I193" t="s">
        <v>1073</v>
      </c>
      <c r="J193" t="s">
        <v>26</v>
      </c>
      <c r="K193" t="s">
        <v>48</v>
      </c>
      <c r="L193" t="b">
        <v>1</v>
      </c>
      <c r="M193" t="s">
        <v>1074</v>
      </c>
      <c r="N193" t="str">
        <f>"822.92"</f>
        <v>822.92</v>
      </c>
      <c r="O193" t="s">
        <v>912</v>
      </c>
      <c r="P193" t="b">
        <v>1</v>
      </c>
      <c r="R193" t="str">
        <f>"9781786821317"</f>
        <v>9781786821317</v>
      </c>
      <c r="S193" t="str">
        <f>"9781786821324"</f>
        <v>9781786821324</v>
      </c>
      <c r="T193">
        <v>975224086</v>
      </c>
    </row>
    <row r="194" spans="1:20" x14ac:dyDescent="0.25">
      <c r="A194">
        <v>1484136</v>
      </c>
      <c r="B194" t="s">
        <v>1075</v>
      </c>
      <c r="D194" t="s">
        <v>131</v>
      </c>
      <c r="E194" t="s">
        <v>669</v>
      </c>
      <c r="F194">
        <v>2017</v>
      </c>
      <c r="G194" t="s">
        <v>670</v>
      </c>
      <c r="H194" t="s">
        <v>1076</v>
      </c>
      <c r="I194" t="s">
        <v>1069</v>
      </c>
      <c r="J194" t="s">
        <v>26</v>
      </c>
      <c r="K194" t="s">
        <v>48</v>
      </c>
      <c r="L194" t="b">
        <v>1</v>
      </c>
      <c r="M194" t="s">
        <v>1077</v>
      </c>
      <c r="N194" t="str">
        <f>"822.914"</f>
        <v>822.914</v>
      </c>
      <c r="O194" t="s">
        <v>912</v>
      </c>
      <c r="P194" t="b">
        <v>1</v>
      </c>
      <c r="R194" t="str">
        <f>"9781786821584"</f>
        <v>9781786821584</v>
      </c>
      <c r="S194" t="str">
        <f>"9781786821591"</f>
        <v>9781786821591</v>
      </c>
      <c r="T194">
        <v>975223572</v>
      </c>
    </row>
    <row r="195" spans="1:20" x14ac:dyDescent="0.25">
      <c r="A195">
        <v>1484135</v>
      </c>
      <c r="B195" t="s">
        <v>1078</v>
      </c>
      <c r="D195" t="s">
        <v>131</v>
      </c>
      <c r="E195" t="s">
        <v>669</v>
      </c>
      <c r="F195">
        <v>2017</v>
      </c>
      <c r="G195" t="s">
        <v>670</v>
      </c>
      <c r="H195" t="s">
        <v>1079</v>
      </c>
      <c r="I195" t="s">
        <v>1069</v>
      </c>
      <c r="J195" t="s">
        <v>26</v>
      </c>
      <c r="K195" t="s">
        <v>48</v>
      </c>
      <c r="L195" t="b">
        <v>1</v>
      </c>
      <c r="M195" t="s">
        <v>1080</v>
      </c>
      <c r="N195" t="str">
        <f>"822/.92"</f>
        <v>822/.92</v>
      </c>
      <c r="O195" t="s">
        <v>1081</v>
      </c>
      <c r="P195" t="b">
        <v>1</v>
      </c>
      <c r="R195" t="str">
        <f>"9781786820952"</f>
        <v>9781786820952</v>
      </c>
      <c r="S195" t="str">
        <f>"9781786820969"</f>
        <v>9781786820969</v>
      </c>
      <c r="T195">
        <v>975223876</v>
      </c>
    </row>
    <row r="196" spans="1:20" x14ac:dyDescent="0.25">
      <c r="A196">
        <v>1484134</v>
      </c>
      <c r="B196" t="s">
        <v>1082</v>
      </c>
      <c r="C196" t="s">
        <v>1083</v>
      </c>
      <c r="D196" t="s">
        <v>131</v>
      </c>
      <c r="E196" t="s">
        <v>669</v>
      </c>
      <c r="F196">
        <v>2017</v>
      </c>
      <c r="G196" t="s">
        <v>670</v>
      </c>
      <c r="H196" t="s">
        <v>1084</v>
      </c>
      <c r="I196" t="s">
        <v>1085</v>
      </c>
      <c r="J196" t="s">
        <v>26</v>
      </c>
      <c r="K196" t="s">
        <v>48</v>
      </c>
      <c r="L196" t="b">
        <v>1</v>
      </c>
      <c r="M196" t="s">
        <v>1086</v>
      </c>
      <c r="N196" t="str">
        <f>"822.914"</f>
        <v>822.914</v>
      </c>
      <c r="P196" t="b">
        <v>1</v>
      </c>
      <c r="R196" t="str">
        <f>"9781840022315"</f>
        <v>9781840022315</v>
      </c>
      <c r="S196" t="str">
        <f>"9781786821577"</f>
        <v>9781786821577</v>
      </c>
      <c r="T196">
        <v>1024195254</v>
      </c>
    </row>
    <row r="197" spans="1:20" x14ac:dyDescent="0.25">
      <c r="A197">
        <v>1484130</v>
      </c>
      <c r="B197" t="s">
        <v>1087</v>
      </c>
      <c r="D197" t="s">
        <v>203</v>
      </c>
      <c r="E197" t="s">
        <v>1088</v>
      </c>
      <c r="F197">
        <v>2015</v>
      </c>
      <c r="G197" t="s">
        <v>197</v>
      </c>
      <c r="H197" t="s">
        <v>1089</v>
      </c>
      <c r="I197" t="s">
        <v>1090</v>
      </c>
      <c r="J197" t="s">
        <v>26</v>
      </c>
      <c r="K197" t="s">
        <v>86</v>
      </c>
      <c r="L197" t="b">
        <v>1</v>
      </c>
      <c r="M197" t="s">
        <v>1091</v>
      </c>
      <c r="N197" t="str">
        <f>"809.38762"</f>
        <v>809.38762</v>
      </c>
      <c r="O197" t="s">
        <v>1092</v>
      </c>
      <c r="P197" t="b">
        <v>0</v>
      </c>
      <c r="R197" t="str">
        <f>"9780957301726"</f>
        <v>9780957301726</v>
      </c>
      <c r="S197" t="str">
        <f>"9780957301771"</f>
        <v>9780957301771</v>
      </c>
      <c r="T197">
        <v>974593008</v>
      </c>
    </row>
    <row r="198" spans="1:20" x14ac:dyDescent="0.25">
      <c r="A198">
        <v>1483770</v>
      </c>
      <c r="B198" t="s">
        <v>1093</v>
      </c>
      <c r="D198" t="s">
        <v>107</v>
      </c>
      <c r="E198" t="s">
        <v>108</v>
      </c>
      <c r="F198">
        <v>2017</v>
      </c>
      <c r="G198" t="s">
        <v>1094</v>
      </c>
      <c r="H198" t="s">
        <v>1095</v>
      </c>
      <c r="I198" t="s">
        <v>1096</v>
      </c>
      <c r="J198" t="s">
        <v>26</v>
      </c>
      <c r="K198" t="s">
        <v>86</v>
      </c>
      <c r="L198" t="b">
        <v>1</v>
      </c>
      <c r="M198" t="s">
        <v>1097</v>
      </c>
      <c r="N198" t="str">
        <f>"551.21094"</f>
        <v>551.21094</v>
      </c>
      <c r="P198" t="b">
        <v>0</v>
      </c>
      <c r="Q198" t="b">
        <v>0</v>
      </c>
      <c r="R198" t="str">
        <f>"9781780460420"</f>
        <v>9781780460420</v>
      </c>
      <c r="S198" t="str">
        <f>"9781780465630"</f>
        <v>9781780465630</v>
      </c>
      <c r="T198">
        <v>979809824</v>
      </c>
    </row>
    <row r="199" spans="1:20" x14ac:dyDescent="0.25">
      <c r="A199">
        <v>1483731</v>
      </c>
      <c r="B199" t="s">
        <v>1098</v>
      </c>
      <c r="C199" t="s">
        <v>1099</v>
      </c>
      <c r="D199" t="s">
        <v>255</v>
      </c>
      <c r="E199" t="s">
        <v>256</v>
      </c>
      <c r="F199">
        <v>2017</v>
      </c>
      <c r="G199" t="s">
        <v>571</v>
      </c>
      <c r="H199" t="s">
        <v>1100</v>
      </c>
      <c r="I199" t="s">
        <v>1101</v>
      </c>
      <c r="J199" t="s">
        <v>26</v>
      </c>
      <c r="K199" t="s">
        <v>48</v>
      </c>
      <c r="L199" t="b">
        <v>1</v>
      </c>
      <c r="M199" t="s">
        <v>1102</v>
      </c>
      <c r="N199" t="str">
        <f>"306.0993"</f>
        <v>306.0993</v>
      </c>
      <c r="P199" t="b">
        <v>0</v>
      </c>
      <c r="R199" t="str">
        <f>"9781869408626"</f>
        <v>9781869408626</v>
      </c>
      <c r="S199" t="str">
        <f>"9781775589129"</f>
        <v>9781775589129</v>
      </c>
      <c r="T199">
        <v>974947393</v>
      </c>
    </row>
    <row r="200" spans="1:20" x14ac:dyDescent="0.25">
      <c r="A200">
        <v>1481839</v>
      </c>
      <c r="B200" t="s">
        <v>1103</v>
      </c>
      <c r="C200" t="s">
        <v>1104</v>
      </c>
      <c r="D200" t="s">
        <v>837</v>
      </c>
      <c r="E200" t="s">
        <v>1105</v>
      </c>
      <c r="F200">
        <v>2017</v>
      </c>
      <c r="G200" t="s">
        <v>839</v>
      </c>
      <c r="J200" t="s">
        <v>26</v>
      </c>
      <c r="K200" t="s">
        <v>27</v>
      </c>
      <c r="L200" t="b">
        <v>1</v>
      </c>
      <c r="M200" t="s">
        <v>1106</v>
      </c>
      <c r="O200" t="s">
        <v>1107</v>
      </c>
      <c r="P200" t="b">
        <v>0</v>
      </c>
    </row>
    <row r="201" spans="1:20" x14ac:dyDescent="0.25">
      <c r="A201">
        <v>1478762</v>
      </c>
      <c r="B201" t="s">
        <v>1108</v>
      </c>
      <c r="D201" t="s">
        <v>203</v>
      </c>
      <c r="E201" t="s">
        <v>1109</v>
      </c>
      <c r="F201">
        <v>2016</v>
      </c>
      <c r="G201" t="s">
        <v>1110</v>
      </c>
      <c r="H201" t="s">
        <v>1111</v>
      </c>
      <c r="I201" t="s">
        <v>1112</v>
      </c>
      <c r="J201" t="s">
        <v>26</v>
      </c>
      <c r="K201" t="s">
        <v>48</v>
      </c>
      <c r="L201" t="b">
        <v>1</v>
      </c>
      <c r="M201" t="s">
        <v>1113</v>
      </c>
      <c r="N201" t="str">
        <f>"616.890068"</f>
        <v>616.890068</v>
      </c>
      <c r="P201" t="b">
        <v>0</v>
      </c>
      <c r="R201" t="str">
        <f>"9781909726659"</f>
        <v>9781909726659</v>
      </c>
      <c r="S201" t="str">
        <f>"9781909726666"</f>
        <v>9781909726666</v>
      </c>
      <c r="T201">
        <v>967879592</v>
      </c>
    </row>
    <row r="202" spans="1:20" x14ac:dyDescent="0.25">
      <c r="A202">
        <v>1473142</v>
      </c>
      <c r="B202" t="s">
        <v>1114</v>
      </c>
      <c r="C202" t="s">
        <v>1115</v>
      </c>
      <c r="D202" t="s">
        <v>43</v>
      </c>
      <c r="E202" t="s">
        <v>44</v>
      </c>
      <c r="F202">
        <v>2013</v>
      </c>
      <c r="G202" t="s">
        <v>1110</v>
      </c>
      <c r="H202" t="s">
        <v>1116</v>
      </c>
      <c r="I202" t="s">
        <v>1117</v>
      </c>
      <c r="J202" t="s">
        <v>26</v>
      </c>
      <c r="K202" t="s">
        <v>48</v>
      </c>
      <c r="L202" t="b">
        <v>1</v>
      </c>
      <c r="M202" t="s">
        <v>1118</v>
      </c>
      <c r="N202" t="str">
        <f>"616.89"</f>
        <v>616.89</v>
      </c>
      <c r="P202" t="b">
        <v>0</v>
      </c>
      <c r="R202" t="str">
        <f>"9781451101546"</f>
        <v>9781451101546</v>
      </c>
      <c r="S202" t="str">
        <f>"9781469830155"</f>
        <v>9781469830155</v>
      </c>
      <c r="T202">
        <v>981942242</v>
      </c>
    </row>
    <row r="203" spans="1:20" x14ac:dyDescent="0.25">
      <c r="A203">
        <v>1473111</v>
      </c>
      <c r="B203" t="s">
        <v>1119</v>
      </c>
      <c r="D203" t="s">
        <v>43</v>
      </c>
      <c r="E203" t="s">
        <v>44</v>
      </c>
      <c r="F203">
        <v>2013</v>
      </c>
      <c r="G203" t="s">
        <v>1120</v>
      </c>
      <c r="H203" t="s">
        <v>1121</v>
      </c>
      <c r="I203" t="s">
        <v>1122</v>
      </c>
      <c r="J203" t="s">
        <v>26</v>
      </c>
      <c r="K203" t="s">
        <v>48</v>
      </c>
      <c r="L203" t="b">
        <v>1</v>
      </c>
      <c r="M203" t="s">
        <v>1123</v>
      </c>
      <c r="N203" t="str">
        <f>"618.20231"</f>
        <v>618.20231</v>
      </c>
      <c r="P203" t="b">
        <v>0</v>
      </c>
      <c r="R203" t="str">
        <f>"9780781783347"</f>
        <v>9780781783347</v>
      </c>
      <c r="S203" t="str">
        <f>"9781451153361"</f>
        <v>9781451153361</v>
      </c>
      <c r="T203">
        <v>798580800</v>
      </c>
    </row>
    <row r="204" spans="1:20" x14ac:dyDescent="0.25">
      <c r="A204">
        <v>1473066</v>
      </c>
      <c r="B204" t="s">
        <v>1124</v>
      </c>
      <c r="D204" t="s">
        <v>43</v>
      </c>
      <c r="E204" t="s">
        <v>44</v>
      </c>
      <c r="F204">
        <v>2013</v>
      </c>
      <c r="G204" t="s">
        <v>1125</v>
      </c>
      <c r="H204" t="s">
        <v>1126</v>
      </c>
      <c r="I204" t="s">
        <v>1127</v>
      </c>
      <c r="J204" t="s">
        <v>26</v>
      </c>
      <c r="K204" t="s">
        <v>48</v>
      </c>
      <c r="L204" t="b">
        <v>1</v>
      </c>
      <c r="M204" t="s">
        <v>1128</v>
      </c>
      <c r="N204" t="str">
        <f>"616.1/5"</f>
        <v>616.1/5</v>
      </c>
      <c r="P204" t="b">
        <v>0</v>
      </c>
      <c r="R204" t="str">
        <f>"9781451182705"</f>
        <v>9781451182705</v>
      </c>
      <c r="S204" t="str">
        <f>"9781469830506"</f>
        <v>9781469830506</v>
      </c>
      <c r="T204">
        <v>856654037</v>
      </c>
    </row>
    <row r="205" spans="1:20" x14ac:dyDescent="0.25">
      <c r="A205">
        <v>1469532</v>
      </c>
      <c r="B205" t="s">
        <v>1129</v>
      </c>
      <c r="D205" t="s">
        <v>131</v>
      </c>
      <c r="E205" t="s">
        <v>669</v>
      </c>
      <c r="F205">
        <v>2016</v>
      </c>
      <c r="G205" t="s">
        <v>1130</v>
      </c>
      <c r="H205" t="s">
        <v>1131</v>
      </c>
      <c r="J205" t="s">
        <v>26</v>
      </c>
      <c r="K205" t="s">
        <v>48</v>
      </c>
      <c r="L205" t="b">
        <v>1</v>
      </c>
      <c r="M205" t="s">
        <v>1132</v>
      </c>
      <c r="N205" t="str">
        <f>"822/.92"</f>
        <v>822/.92</v>
      </c>
      <c r="O205" t="s">
        <v>970</v>
      </c>
      <c r="P205" t="b">
        <v>1</v>
      </c>
      <c r="R205" t="str">
        <f>"9781786820259"</f>
        <v>9781786820259</v>
      </c>
      <c r="S205" t="str">
        <f>"9781786820266"</f>
        <v>9781786820266</v>
      </c>
      <c r="T205">
        <v>966545388</v>
      </c>
    </row>
    <row r="206" spans="1:20" x14ac:dyDescent="0.25">
      <c r="A206">
        <v>1469502</v>
      </c>
      <c r="B206" t="s">
        <v>1133</v>
      </c>
      <c r="D206" t="s">
        <v>131</v>
      </c>
      <c r="E206" t="s">
        <v>669</v>
      </c>
      <c r="F206">
        <v>2016</v>
      </c>
      <c r="G206" t="s">
        <v>1063</v>
      </c>
      <c r="H206" t="s">
        <v>1134</v>
      </c>
      <c r="I206" t="s">
        <v>1135</v>
      </c>
      <c r="J206" t="s">
        <v>26</v>
      </c>
      <c r="K206" t="s">
        <v>48</v>
      </c>
      <c r="L206" t="b">
        <v>1</v>
      </c>
      <c r="M206" t="s">
        <v>1136</v>
      </c>
      <c r="N206" t="str">
        <f>"842/.92"</f>
        <v>842/.92</v>
      </c>
      <c r="O206" t="s">
        <v>912</v>
      </c>
      <c r="P206" t="b">
        <v>1</v>
      </c>
      <c r="R206" t="str">
        <f>"9781786820938"</f>
        <v>9781786820938</v>
      </c>
      <c r="S206" t="str">
        <f>"9781786820945"</f>
        <v>9781786820945</v>
      </c>
      <c r="T206">
        <v>966475452</v>
      </c>
    </row>
    <row r="207" spans="1:20" x14ac:dyDescent="0.25">
      <c r="A207">
        <v>1469288</v>
      </c>
      <c r="B207" t="s">
        <v>1137</v>
      </c>
      <c r="C207" t="s">
        <v>1138</v>
      </c>
      <c r="D207" t="s">
        <v>203</v>
      </c>
      <c r="E207" t="s">
        <v>1139</v>
      </c>
      <c r="F207">
        <v>2016</v>
      </c>
      <c r="G207" t="s">
        <v>100</v>
      </c>
      <c r="H207" t="s">
        <v>1140</v>
      </c>
      <c r="I207" t="s">
        <v>1141</v>
      </c>
      <c r="J207" t="s">
        <v>512</v>
      </c>
      <c r="K207" t="s">
        <v>48</v>
      </c>
      <c r="L207" t="b">
        <v>1</v>
      </c>
      <c r="M207" t="s">
        <v>1142</v>
      </c>
      <c r="N207" t="str">
        <f>"302.231"</f>
        <v>302.231</v>
      </c>
      <c r="P207" t="b">
        <v>0</v>
      </c>
      <c r="S207" t="str">
        <f>"9786123180805"</f>
        <v>9786123180805</v>
      </c>
      <c r="T207">
        <v>967538654</v>
      </c>
    </row>
    <row r="208" spans="1:20" x14ac:dyDescent="0.25">
      <c r="A208">
        <v>1468616</v>
      </c>
      <c r="B208" t="s">
        <v>1143</v>
      </c>
      <c r="D208" t="s">
        <v>131</v>
      </c>
      <c r="E208" t="s">
        <v>1144</v>
      </c>
      <c r="F208">
        <v>2016</v>
      </c>
      <c r="G208" t="s">
        <v>1145</v>
      </c>
      <c r="H208" t="s">
        <v>1146</v>
      </c>
      <c r="I208" t="s">
        <v>1147</v>
      </c>
      <c r="J208" t="s">
        <v>26</v>
      </c>
      <c r="K208" t="s">
        <v>86</v>
      </c>
      <c r="L208" t="b">
        <v>1</v>
      </c>
      <c r="M208" t="s">
        <v>1148</v>
      </c>
      <c r="N208" t="str">
        <f>"811.6"</f>
        <v>811.6</v>
      </c>
      <c r="P208" t="b">
        <v>0</v>
      </c>
      <c r="Q208" t="b">
        <v>0</v>
      </c>
      <c r="R208" t="str">
        <f>"9781771961318"</f>
        <v>9781771961318</v>
      </c>
      <c r="S208" t="str">
        <f>"9781771961325"</f>
        <v>9781771961325</v>
      </c>
      <c r="T208">
        <v>966177700</v>
      </c>
    </row>
    <row r="209" spans="1:20" x14ac:dyDescent="0.25">
      <c r="A209">
        <v>1468545</v>
      </c>
      <c r="B209" t="s">
        <v>1149</v>
      </c>
      <c r="C209" t="s">
        <v>1150</v>
      </c>
      <c r="D209" t="s">
        <v>1151</v>
      </c>
      <c r="E209" t="s">
        <v>1152</v>
      </c>
      <c r="F209">
        <v>2016</v>
      </c>
      <c r="G209" t="s">
        <v>1153</v>
      </c>
      <c r="H209" t="s">
        <v>1154</v>
      </c>
      <c r="I209" t="s">
        <v>1155</v>
      </c>
      <c r="J209" t="s">
        <v>26</v>
      </c>
      <c r="K209" t="s">
        <v>48</v>
      </c>
      <c r="L209" t="b">
        <v>1</v>
      </c>
      <c r="M209" t="s">
        <v>1156</v>
      </c>
      <c r="N209" t="str">
        <f>"307.76/0973"</f>
        <v>307.76/0973</v>
      </c>
      <c r="P209" t="b">
        <v>0</v>
      </c>
      <c r="Q209" t="b">
        <v>0</v>
      </c>
      <c r="R209" t="str">
        <f>"9781613320198"</f>
        <v>9781613320198</v>
      </c>
      <c r="S209" t="str">
        <f>"9781613320204"</f>
        <v>9781613320204</v>
      </c>
      <c r="T209">
        <v>645917366</v>
      </c>
    </row>
    <row r="210" spans="1:20" x14ac:dyDescent="0.25">
      <c r="A210">
        <v>1468491</v>
      </c>
      <c r="B210" t="s">
        <v>1157</v>
      </c>
      <c r="C210" t="s">
        <v>1158</v>
      </c>
      <c r="D210" t="s">
        <v>131</v>
      </c>
      <c r="E210" t="s">
        <v>1159</v>
      </c>
      <c r="F210">
        <v>2016</v>
      </c>
      <c r="G210" t="s">
        <v>1160</v>
      </c>
      <c r="H210" t="s">
        <v>1161</v>
      </c>
      <c r="I210" t="s">
        <v>1162</v>
      </c>
      <c r="J210" t="s">
        <v>26</v>
      </c>
      <c r="K210" t="s">
        <v>86</v>
      </c>
      <c r="L210" t="b">
        <v>1</v>
      </c>
      <c r="M210" t="s">
        <v>1163</v>
      </c>
      <c r="N210" t="str">
        <f>"781.66"</f>
        <v>781.66</v>
      </c>
      <c r="P210" t="b">
        <v>0</v>
      </c>
      <c r="Q210" t="b">
        <v>0</v>
      </c>
      <c r="R210" t="str">
        <f>"9781940430751"</f>
        <v>9781940430751</v>
      </c>
      <c r="S210" t="str">
        <f>"9781945883002"</f>
        <v>9781945883002</v>
      </c>
      <c r="T210">
        <v>957766900</v>
      </c>
    </row>
    <row r="211" spans="1:20" x14ac:dyDescent="0.25">
      <c r="A211">
        <v>1468389</v>
      </c>
      <c r="B211" t="s">
        <v>1164</v>
      </c>
      <c r="C211" t="s">
        <v>1165</v>
      </c>
      <c r="D211" t="s">
        <v>131</v>
      </c>
      <c r="E211" t="s">
        <v>669</v>
      </c>
      <c r="F211">
        <v>2016</v>
      </c>
      <c r="G211" t="s">
        <v>489</v>
      </c>
      <c r="H211" t="s">
        <v>1166</v>
      </c>
      <c r="I211" t="s">
        <v>1167</v>
      </c>
      <c r="J211" t="s">
        <v>26</v>
      </c>
      <c r="K211" t="s">
        <v>48</v>
      </c>
      <c r="L211" t="b">
        <v>1</v>
      </c>
      <c r="M211" t="s">
        <v>1168</v>
      </c>
      <c r="N211" t="str">
        <f>"891.8"</f>
        <v>891.8</v>
      </c>
      <c r="P211" t="b">
        <v>1</v>
      </c>
      <c r="R211" t="str">
        <f>"9781786820808"</f>
        <v>9781786820808</v>
      </c>
      <c r="S211" t="str">
        <f>"9781786820815"</f>
        <v>9781786820815</v>
      </c>
      <c r="T211">
        <v>966458084</v>
      </c>
    </row>
    <row r="212" spans="1:20" x14ac:dyDescent="0.25">
      <c r="A212">
        <v>1468363</v>
      </c>
      <c r="B212" t="s">
        <v>1169</v>
      </c>
      <c r="D212" t="s">
        <v>131</v>
      </c>
      <c r="E212" t="s">
        <v>669</v>
      </c>
      <c r="F212">
        <v>2016</v>
      </c>
      <c r="G212" t="s">
        <v>670</v>
      </c>
      <c r="H212" t="s">
        <v>1170</v>
      </c>
      <c r="I212" t="s">
        <v>1171</v>
      </c>
      <c r="J212" t="s">
        <v>26</v>
      </c>
      <c r="K212" t="s">
        <v>48</v>
      </c>
      <c r="L212" t="b">
        <v>1</v>
      </c>
      <c r="M212" t="s">
        <v>939</v>
      </c>
      <c r="N212" t="str">
        <f>"822/.92"</f>
        <v>822/.92</v>
      </c>
      <c r="P212" t="b">
        <v>1</v>
      </c>
      <c r="R212" t="str">
        <f>"9781786820549"</f>
        <v>9781786820549</v>
      </c>
      <c r="S212" t="str">
        <f>"9781786820556"</f>
        <v>9781786820556</v>
      </c>
      <c r="T212">
        <v>966458095</v>
      </c>
    </row>
    <row r="213" spans="1:20" x14ac:dyDescent="0.25">
      <c r="A213">
        <v>1468160</v>
      </c>
      <c r="B213" t="s">
        <v>1172</v>
      </c>
      <c r="D213" t="s">
        <v>131</v>
      </c>
      <c r="E213" t="s">
        <v>669</v>
      </c>
      <c r="F213">
        <v>2016</v>
      </c>
      <c r="G213" t="s">
        <v>670</v>
      </c>
      <c r="H213" t="s">
        <v>1173</v>
      </c>
      <c r="I213" t="s">
        <v>1174</v>
      </c>
      <c r="J213" t="s">
        <v>26</v>
      </c>
      <c r="K213" t="s">
        <v>48</v>
      </c>
      <c r="L213" t="b">
        <v>1</v>
      </c>
      <c r="M213" t="s">
        <v>1175</v>
      </c>
      <c r="N213" t="str">
        <f>"822/.92"</f>
        <v>822/.92</v>
      </c>
      <c r="O213" t="s">
        <v>912</v>
      </c>
      <c r="P213" t="b">
        <v>1</v>
      </c>
      <c r="R213" t="str">
        <f>"9781786820686"</f>
        <v>9781786820686</v>
      </c>
      <c r="S213" t="str">
        <f>"9781786820693"</f>
        <v>9781786820693</v>
      </c>
      <c r="T213">
        <v>967029738</v>
      </c>
    </row>
    <row r="214" spans="1:20" x14ac:dyDescent="0.25">
      <c r="A214">
        <v>1468039</v>
      </c>
      <c r="B214" t="s">
        <v>1176</v>
      </c>
      <c r="D214" t="s">
        <v>131</v>
      </c>
      <c r="E214" t="s">
        <v>669</v>
      </c>
      <c r="F214">
        <v>2016</v>
      </c>
      <c r="G214" t="s">
        <v>670</v>
      </c>
      <c r="H214" t="s">
        <v>1177</v>
      </c>
      <c r="I214" t="s">
        <v>1178</v>
      </c>
      <c r="J214" t="s">
        <v>26</v>
      </c>
      <c r="K214" t="s">
        <v>48</v>
      </c>
      <c r="L214" t="b">
        <v>1</v>
      </c>
      <c r="M214" t="s">
        <v>1179</v>
      </c>
      <c r="N214" t="str">
        <f>"822.92"</f>
        <v>822.92</v>
      </c>
      <c r="O214" t="s">
        <v>912</v>
      </c>
      <c r="P214" t="b">
        <v>1</v>
      </c>
      <c r="R214" t="str">
        <f>"9781786820099"</f>
        <v>9781786820099</v>
      </c>
      <c r="S214" t="str">
        <f>"9781786820105"</f>
        <v>9781786820105</v>
      </c>
      <c r="T214">
        <v>966786463</v>
      </c>
    </row>
    <row r="215" spans="1:20" x14ac:dyDescent="0.25">
      <c r="A215">
        <v>1468038</v>
      </c>
      <c r="B215" t="s">
        <v>1180</v>
      </c>
      <c r="D215" t="s">
        <v>131</v>
      </c>
      <c r="E215" t="s">
        <v>669</v>
      </c>
      <c r="F215">
        <v>2016</v>
      </c>
      <c r="G215" t="s">
        <v>670</v>
      </c>
      <c r="H215" t="s">
        <v>1084</v>
      </c>
      <c r="I215" t="s">
        <v>1181</v>
      </c>
      <c r="J215" t="s">
        <v>26</v>
      </c>
      <c r="K215" t="s">
        <v>48</v>
      </c>
      <c r="L215" t="b">
        <v>1</v>
      </c>
      <c r="M215" t="s">
        <v>1182</v>
      </c>
      <c r="N215" t="str">
        <f>"822/.9208"</f>
        <v>822/.9208</v>
      </c>
      <c r="P215" t="b">
        <v>1</v>
      </c>
      <c r="R215" t="str">
        <f>"9781786820785"</f>
        <v>9781786820785</v>
      </c>
      <c r="S215" t="str">
        <f>"9781786820792"</f>
        <v>9781786820792</v>
      </c>
      <c r="T215">
        <v>966531424</v>
      </c>
    </row>
    <row r="216" spans="1:20" x14ac:dyDescent="0.25">
      <c r="A216">
        <v>1466443</v>
      </c>
      <c r="B216" t="s">
        <v>1183</v>
      </c>
      <c r="D216" t="s">
        <v>131</v>
      </c>
      <c r="E216" t="s">
        <v>669</v>
      </c>
      <c r="F216">
        <v>2016</v>
      </c>
      <c r="G216" t="s">
        <v>670</v>
      </c>
      <c r="H216" t="s">
        <v>1184</v>
      </c>
      <c r="J216" t="s">
        <v>26</v>
      </c>
      <c r="K216" t="s">
        <v>48</v>
      </c>
      <c r="L216" t="b">
        <v>1</v>
      </c>
      <c r="M216" t="s">
        <v>1185</v>
      </c>
      <c r="N216" t="str">
        <f>"822/.92"</f>
        <v>822/.92</v>
      </c>
      <c r="O216" t="s">
        <v>912</v>
      </c>
      <c r="P216" t="b">
        <v>1</v>
      </c>
      <c r="R216" t="str">
        <f>"9781786820662"</f>
        <v>9781786820662</v>
      </c>
      <c r="S216" t="str">
        <f>"9781786820679"</f>
        <v>9781786820679</v>
      </c>
      <c r="T216">
        <v>966502484</v>
      </c>
    </row>
    <row r="217" spans="1:20" x14ac:dyDescent="0.25">
      <c r="A217">
        <v>1466337</v>
      </c>
      <c r="B217" t="s">
        <v>1186</v>
      </c>
      <c r="D217" t="s">
        <v>131</v>
      </c>
      <c r="E217" t="s">
        <v>669</v>
      </c>
      <c r="F217">
        <v>2016</v>
      </c>
      <c r="G217" t="s">
        <v>670</v>
      </c>
      <c r="H217" t="s">
        <v>1187</v>
      </c>
      <c r="I217" t="s">
        <v>1188</v>
      </c>
      <c r="J217" t="s">
        <v>26</v>
      </c>
      <c r="K217" t="s">
        <v>48</v>
      </c>
      <c r="L217" t="b">
        <v>1</v>
      </c>
      <c r="M217" t="s">
        <v>1189</v>
      </c>
      <c r="N217" t="str">
        <f>"822/.92"</f>
        <v>822/.92</v>
      </c>
      <c r="P217" t="b">
        <v>1</v>
      </c>
      <c r="R217" t="str">
        <f>"9781786820600"</f>
        <v>9781786820600</v>
      </c>
      <c r="S217" t="str">
        <f>"9781786820617"</f>
        <v>9781786820617</v>
      </c>
      <c r="T217">
        <v>961456529</v>
      </c>
    </row>
    <row r="218" spans="1:20" x14ac:dyDescent="0.25">
      <c r="A218">
        <v>1466330</v>
      </c>
      <c r="B218" t="s">
        <v>1190</v>
      </c>
      <c r="D218" t="s">
        <v>131</v>
      </c>
      <c r="E218" t="s">
        <v>669</v>
      </c>
      <c r="F218">
        <v>2016</v>
      </c>
      <c r="G218" t="s">
        <v>670</v>
      </c>
      <c r="H218" t="s">
        <v>1191</v>
      </c>
      <c r="I218" t="s">
        <v>1192</v>
      </c>
      <c r="J218" t="s">
        <v>26</v>
      </c>
      <c r="K218" t="s">
        <v>48</v>
      </c>
      <c r="L218" t="b">
        <v>1</v>
      </c>
      <c r="M218" t="s">
        <v>1193</v>
      </c>
      <c r="N218" t="str">
        <f>"616.9792"</f>
        <v>616.9792</v>
      </c>
      <c r="P218" t="b">
        <v>1</v>
      </c>
      <c r="R218" t="str">
        <f>"9781786820648"</f>
        <v>9781786820648</v>
      </c>
      <c r="S218" t="str">
        <f>"9781786820655"</f>
        <v>9781786820655</v>
      </c>
      <c r="T218">
        <v>961449050</v>
      </c>
    </row>
    <row r="219" spans="1:20" x14ac:dyDescent="0.25">
      <c r="A219">
        <v>1466329</v>
      </c>
      <c r="B219" t="s">
        <v>1194</v>
      </c>
      <c r="D219" t="s">
        <v>131</v>
      </c>
      <c r="E219" t="s">
        <v>669</v>
      </c>
      <c r="F219">
        <v>2016</v>
      </c>
      <c r="G219" t="s">
        <v>670</v>
      </c>
      <c r="H219" t="s">
        <v>1195</v>
      </c>
      <c r="I219" t="s">
        <v>1196</v>
      </c>
      <c r="J219" t="s">
        <v>26</v>
      </c>
      <c r="K219" t="s">
        <v>48</v>
      </c>
      <c r="L219" t="b">
        <v>1</v>
      </c>
      <c r="M219" t="s">
        <v>1197</v>
      </c>
      <c r="N219" t="str">
        <f>"822.92"</f>
        <v>822.92</v>
      </c>
      <c r="P219" t="b">
        <v>1</v>
      </c>
      <c r="R219" t="str">
        <f>"9781783198689"</f>
        <v>9781783198689</v>
      </c>
      <c r="S219" t="str">
        <f>"9781783198696"</f>
        <v>9781783198696</v>
      </c>
      <c r="T219">
        <v>961456055</v>
      </c>
    </row>
    <row r="220" spans="1:20" x14ac:dyDescent="0.25">
      <c r="A220">
        <v>1466328</v>
      </c>
      <c r="B220" t="s">
        <v>1198</v>
      </c>
      <c r="D220" t="s">
        <v>203</v>
      </c>
      <c r="E220" t="s">
        <v>1199</v>
      </c>
      <c r="F220">
        <v>2016</v>
      </c>
      <c r="G220" t="s">
        <v>1200</v>
      </c>
      <c r="H220" t="s">
        <v>1201</v>
      </c>
      <c r="I220" t="s">
        <v>1202</v>
      </c>
      <c r="J220" t="s">
        <v>26</v>
      </c>
      <c r="K220" t="s">
        <v>48</v>
      </c>
      <c r="L220" t="b">
        <v>1</v>
      </c>
      <c r="M220" t="s">
        <v>1203</v>
      </c>
      <c r="N220" t="str">
        <f>"823/.0108092"</f>
        <v>823/.0108092</v>
      </c>
      <c r="P220" t="b">
        <v>1</v>
      </c>
      <c r="R220" t="str">
        <f>"9781785451270"</f>
        <v>9781785451270</v>
      </c>
      <c r="S220" t="str">
        <f>"9781785451287"</f>
        <v>9781785451287</v>
      </c>
      <c r="T220">
        <v>986858169</v>
      </c>
    </row>
    <row r="221" spans="1:20" x14ac:dyDescent="0.25">
      <c r="A221">
        <v>1466133</v>
      </c>
      <c r="B221" t="s">
        <v>1204</v>
      </c>
      <c r="D221" t="s">
        <v>131</v>
      </c>
      <c r="E221" t="s">
        <v>669</v>
      </c>
      <c r="F221">
        <v>2016</v>
      </c>
      <c r="G221" t="s">
        <v>670</v>
      </c>
      <c r="H221" t="s">
        <v>1205</v>
      </c>
      <c r="I221" t="s">
        <v>1206</v>
      </c>
      <c r="J221" t="s">
        <v>26</v>
      </c>
      <c r="K221" t="s">
        <v>48</v>
      </c>
      <c r="L221" t="b">
        <v>1</v>
      </c>
      <c r="M221" t="s">
        <v>1207</v>
      </c>
      <c r="N221" t="str">
        <f>"822/.92"</f>
        <v>822/.92</v>
      </c>
      <c r="P221" t="b">
        <v>1</v>
      </c>
      <c r="R221" t="str">
        <f>"9781786820525"</f>
        <v>9781786820525</v>
      </c>
      <c r="S221" t="str">
        <f>"9781786820532"</f>
        <v>9781786820532</v>
      </c>
      <c r="T221">
        <v>961448906</v>
      </c>
    </row>
    <row r="222" spans="1:20" x14ac:dyDescent="0.25">
      <c r="A222">
        <v>1466132</v>
      </c>
      <c r="B222" t="s">
        <v>1208</v>
      </c>
      <c r="D222" t="s">
        <v>131</v>
      </c>
      <c r="E222" t="s">
        <v>669</v>
      </c>
      <c r="F222">
        <v>2016</v>
      </c>
      <c r="G222" t="s">
        <v>670</v>
      </c>
      <c r="H222" t="s">
        <v>1209</v>
      </c>
      <c r="I222" t="s">
        <v>1210</v>
      </c>
      <c r="J222" t="s">
        <v>26</v>
      </c>
      <c r="K222" t="s">
        <v>48</v>
      </c>
      <c r="L222" t="b">
        <v>1</v>
      </c>
      <c r="M222" t="s">
        <v>1211</v>
      </c>
      <c r="N222" t="str">
        <f>"812/.6"</f>
        <v>812/.6</v>
      </c>
      <c r="P222" t="b">
        <v>1</v>
      </c>
      <c r="R222" t="str">
        <f>"9781786820587"</f>
        <v>9781786820587</v>
      </c>
      <c r="S222" t="str">
        <f>"9781786820594"</f>
        <v>9781786820594</v>
      </c>
      <c r="T222">
        <v>961455990</v>
      </c>
    </row>
    <row r="223" spans="1:20" x14ac:dyDescent="0.25">
      <c r="A223">
        <v>1464749</v>
      </c>
      <c r="B223" t="s">
        <v>1212</v>
      </c>
      <c r="D223" t="s">
        <v>203</v>
      </c>
      <c r="E223" t="s">
        <v>1213</v>
      </c>
      <c r="F223">
        <v>2011</v>
      </c>
      <c r="G223" t="s">
        <v>577</v>
      </c>
      <c r="H223" t="s">
        <v>1214</v>
      </c>
      <c r="I223" t="s">
        <v>1215</v>
      </c>
      <c r="J223" t="s">
        <v>512</v>
      </c>
      <c r="K223" t="s">
        <v>48</v>
      </c>
      <c r="L223" t="b">
        <v>1</v>
      </c>
      <c r="M223" t="s">
        <v>1216</v>
      </c>
      <c r="N223" t="str">
        <f>"861/.7"</f>
        <v>861/.7</v>
      </c>
      <c r="O223" t="s">
        <v>1217</v>
      </c>
      <c r="P223" t="b">
        <v>0</v>
      </c>
      <c r="S223" t="str">
        <f>"9788793429857"</f>
        <v>9788793429857</v>
      </c>
      <c r="T223">
        <v>958573047</v>
      </c>
    </row>
    <row r="224" spans="1:20" x14ac:dyDescent="0.25">
      <c r="A224">
        <v>1464748</v>
      </c>
      <c r="B224" t="s">
        <v>1218</v>
      </c>
      <c r="C224" t="s">
        <v>1219</v>
      </c>
      <c r="D224" t="s">
        <v>203</v>
      </c>
      <c r="E224" t="s">
        <v>1213</v>
      </c>
      <c r="F224">
        <v>2013</v>
      </c>
      <c r="G224" t="s">
        <v>1220</v>
      </c>
      <c r="H224" t="s">
        <v>1221</v>
      </c>
      <c r="I224" t="s">
        <v>1222</v>
      </c>
      <c r="J224" t="s">
        <v>512</v>
      </c>
      <c r="K224" t="s">
        <v>48</v>
      </c>
      <c r="L224" t="b">
        <v>1</v>
      </c>
      <c r="M224" t="s">
        <v>1216</v>
      </c>
      <c r="N224" t="str">
        <f>"861"</f>
        <v>861</v>
      </c>
      <c r="O224" t="s">
        <v>1223</v>
      </c>
      <c r="P224" t="b">
        <v>0</v>
      </c>
      <c r="S224" t="str">
        <f>"9788793429864"</f>
        <v>9788793429864</v>
      </c>
      <c r="T224">
        <v>1030304561</v>
      </c>
    </row>
    <row r="225" spans="1:20" x14ac:dyDescent="0.25">
      <c r="A225">
        <v>1464686</v>
      </c>
      <c r="B225" t="s">
        <v>1224</v>
      </c>
      <c r="C225" t="s">
        <v>1225</v>
      </c>
      <c r="D225" t="s">
        <v>644</v>
      </c>
      <c r="E225" t="s">
        <v>637</v>
      </c>
      <c r="F225">
        <v>2016</v>
      </c>
      <c r="G225" t="s">
        <v>1226</v>
      </c>
      <c r="H225" t="s">
        <v>1227</v>
      </c>
      <c r="I225" t="s">
        <v>1228</v>
      </c>
      <c r="J225" t="s">
        <v>26</v>
      </c>
      <c r="K225" t="s">
        <v>48</v>
      </c>
      <c r="L225" t="b">
        <v>1</v>
      </c>
      <c r="M225" t="s">
        <v>1229</v>
      </c>
      <c r="N225" t="str">
        <f>"330.9417/083"</f>
        <v>330.9417/083</v>
      </c>
      <c r="P225" t="b">
        <v>0</v>
      </c>
      <c r="R225" t="str">
        <f>"9781781173947"</f>
        <v>9781781173947</v>
      </c>
      <c r="S225" t="str">
        <f>"9781781173954"</f>
        <v>9781781173954</v>
      </c>
      <c r="T225">
        <v>964291025</v>
      </c>
    </row>
    <row r="226" spans="1:20" x14ac:dyDescent="0.25">
      <c r="A226">
        <v>1460835</v>
      </c>
      <c r="B226" t="s">
        <v>1230</v>
      </c>
      <c r="D226" t="s">
        <v>131</v>
      </c>
      <c r="E226" t="s">
        <v>669</v>
      </c>
      <c r="F226">
        <v>2016</v>
      </c>
      <c r="G226" t="s">
        <v>670</v>
      </c>
      <c r="H226" t="s">
        <v>1231</v>
      </c>
      <c r="I226" t="s">
        <v>1232</v>
      </c>
      <c r="J226" t="s">
        <v>26</v>
      </c>
      <c r="K226" t="s">
        <v>48</v>
      </c>
      <c r="L226" t="b">
        <v>1</v>
      </c>
      <c r="M226" t="s">
        <v>1233</v>
      </c>
      <c r="N226" t="str">
        <f>"822/.914"</f>
        <v>822/.914</v>
      </c>
      <c r="P226" t="b">
        <v>1</v>
      </c>
      <c r="R226" t="str">
        <f>"9781786820372"</f>
        <v>9781786820372</v>
      </c>
      <c r="S226" t="str">
        <f>"9781786820389"</f>
        <v>9781786820389</v>
      </c>
      <c r="T226">
        <v>959845618</v>
      </c>
    </row>
    <row r="227" spans="1:20" x14ac:dyDescent="0.25">
      <c r="A227">
        <v>1460805</v>
      </c>
      <c r="B227" t="s">
        <v>1234</v>
      </c>
      <c r="D227" t="s">
        <v>131</v>
      </c>
      <c r="E227" t="s">
        <v>669</v>
      </c>
      <c r="F227">
        <v>2016</v>
      </c>
      <c r="G227" t="s">
        <v>670</v>
      </c>
      <c r="H227" t="s">
        <v>1235</v>
      </c>
      <c r="I227" t="s">
        <v>1236</v>
      </c>
      <c r="J227" t="s">
        <v>26</v>
      </c>
      <c r="K227" t="s">
        <v>48</v>
      </c>
      <c r="L227" t="b">
        <v>1</v>
      </c>
      <c r="M227" t="s">
        <v>1237</v>
      </c>
      <c r="N227" t="str">
        <f>"822.92"</f>
        <v>822.92</v>
      </c>
      <c r="P227" t="b">
        <v>1</v>
      </c>
      <c r="R227" t="str">
        <f>"9781786820211"</f>
        <v>9781786820211</v>
      </c>
      <c r="S227" t="str">
        <f>"9781786820228"</f>
        <v>9781786820228</v>
      </c>
      <c r="T227">
        <v>959846059</v>
      </c>
    </row>
    <row r="228" spans="1:20" x14ac:dyDescent="0.25">
      <c r="A228">
        <v>1460804</v>
      </c>
      <c r="B228" t="s">
        <v>1238</v>
      </c>
      <c r="D228" t="s">
        <v>131</v>
      </c>
      <c r="E228" t="s">
        <v>669</v>
      </c>
      <c r="F228">
        <v>2016</v>
      </c>
      <c r="G228" t="s">
        <v>1130</v>
      </c>
      <c r="H228" t="s">
        <v>1239</v>
      </c>
      <c r="I228" t="s">
        <v>1240</v>
      </c>
      <c r="J228" t="s">
        <v>26</v>
      </c>
      <c r="K228" t="s">
        <v>48</v>
      </c>
      <c r="L228" t="b">
        <v>1</v>
      </c>
      <c r="M228" t="s">
        <v>1241</v>
      </c>
      <c r="N228" t="str">
        <f>"822/.914"</f>
        <v>822/.914</v>
      </c>
      <c r="O228" t="s">
        <v>912</v>
      </c>
      <c r="P228" t="b">
        <v>1</v>
      </c>
      <c r="R228" t="str">
        <f>"9781786820334"</f>
        <v>9781786820334</v>
      </c>
      <c r="S228" t="str">
        <f>"9781786820341"</f>
        <v>9781786820341</v>
      </c>
      <c r="T228">
        <v>959881661</v>
      </c>
    </row>
    <row r="229" spans="1:20" x14ac:dyDescent="0.25">
      <c r="A229">
        <v>1460803</v>
      </c>
      <c r="B229" t="s">
        <v>1242</v>
      </c>
      <c r="C229" t="s">
        <v>1243</v>
      </c>
      <c r="D229" t="s">
        <v>131</v>
      </c>
      <c r="E229" t="s">
        <v>669</v>
      </c>
      <c r="F229">
        <v>2016</v>
      </c>
      <c r="G229" t="s">
        <v>670</v>
      </c>
      <c r="H229" t="s">
        <v>1244</v>
      </c>
      <c r="I229" t="s">
        <v>1245</v>
      </c>
      <c r="J229" t="s">
        <v>26</v>
      </c>
      <c r="K229" t="s">
        <v>48</v>
      </c>
      <c r="L229" t="b">
        <v>1</v>
      </c>
      <c r="M229" t="s">
        <v>1246</v>
      </c>
      <c r="N229" t="str">
        <f>"822/.92"</f>
        <v>822/.92</v>
      </c>
      <c r="O229" t="s">
        <v>912</v>
      </c>
      <c r="P229" t="b">
        <v>1</v>
      </c>
      <c r="R229" t="str">
        <f>"9781786820471"</f>
        <v>9781786820471</v>
      </c>
      <c r="S229" t="str">
        <f>"9781786820488"</f>
        <v>9781786820488</v>
      </c>
      <c r="T229">
        <v>959846058</v>
      </c>
    </row>
    <row r="230" spans="1:20" x14ac:dyDescent="0.25">
      <c r="A230">
        <v>1460770</v>
      </c>
      <c r="B230" t="s">
        <v>1247</v>
      </c>
      <c r="D230" t="s">
        <v>131</v>
      </c>
      <c r="E230" t="s">
        <v>669</v>
      </c>
      <c r="F230">
        <v>2016</v>
      </c>
      <c r="G230" t="s">
        <v>670</v>
      </c>
      <c r="H230" t="s">
        <v>1248</v>
      </c>
      <c r="I230" t="s">
        <v>1249</v>
      </c>
      <c r="J230" t="s">
        <v>26</v>
      </c>
      <c r="K230" t="s">
        <v>48</v>
      </c>
      <c r="L230" t="b">
        <v>1</v>
      </c>
      <c r="M230" t="s">
        <v>1250</v>
      </c>
      <c r="N230" t="str">
        <f>"822/.92"</f>
        <v>822/.92</v>
      </c>
      <c r="P230" t="b">
        <v>1</v>
      </c>
      <c r="R230" t="str">
        <f>"9781786820495"</f>
        <v>9781786820495</v>
      </c>
      <c r="S230" t="str">
        <f>"9781786820501"</f>
        <v>9781786820501</v>
      </c>
      <c r="T230">
        <v>960165146</v>
      </c>
    </row>
    <row r="231" spans="1:20" x14ac:dyDescent="0.25">
      <c r="A231">
        <v>1460408</v>
      </c>
      <c r="B231" t="s">
        <v>1251</v>
      </c>
      <c r="D231" t="s">
        <v>131</v>
      </c>
      <c r="E231" t="s">
        <v>669</v>
      </c>
      <c r="F231">
        <v>2016</v>
      </c>
      <c r="G231" t="s">
        <v>670</v>
      </c>
      <c r="H231" t="s">
        <v>1252</v>
      </c>
      <c r="I231" t="s">
        <v>1253</v>
      </c>
      <c r="J231" t="s">
        <v>26</v>
      </c>
      <c r="K231" t="s">
        <v>48</v>
      </c>
      <c r="L231" t="b">
        <v>1</v>
      </c>
      <c r="M231" t="s">
        <v>1254</v>
      </c>
      <c r="N231" t="str">
        <f>"822/.92"</f>
        <v>822/.92</v>
      </c>
      <c r="O231" t="s">
        <v>912</v>
      </c>
      <c r="P231" t="b">
        <v>1</v>
      </c>
      <c r="R231" t="str">
        <f>"9781786820396"</f>
        <v>9781786820396</v>
      </c>
      <c r="S231" t="str">
        <f>"9781786820402"</f>
        <v>9781786820402</v>
      </c>
      <c r="T231">
        <v>960165412</v>
      </c>
    </row>
    <row r="232" spans="1:20" x14ac:dyDescent="0.25">
      <c r="A232">
        <v>1460396</v>
      </c>
      <c r="B232" t="s">
        <v>1255</v>
      </c>
      <c r="D232" t="s">
        <v>131</v>
      </c>
      <c r="E232" t="s">
        <v>669</v>
      </c>
      <c r="F232">
        <v>2016</v>
      </c>
      <c r="G232" t="s">
        <v>670</v>
      </c>
      <c r="H232" t="s">
        <v>1256</v>
      </c>
      <c r="I232" t="s">
        <v>1257</v>
      </c>
      <c r="J232" t="s">
        <v>26</v>
      </c>
      <c r="K232" t="s">
        <v>48</v>
      </c>
      <c r="L232" t="b">
        <v>1</v>
      </c>
      <c r="M232" t="s">
        <v>1258</v>
      </c>
      <c r="N232" t="str">
        <f>"822.914"</f>
        <v>822.914</v>
      </c>
      <c r="P232" t="b">
        <v>1</v>
      </c>
      <c r="R232" t="str">
        <f>"9781840024036"</f>
        <v>9781840024036</v>
      </c>
      <c r="S232" t="str">
        <f>"9781783192274"</f>
        <v>9781783192274</v>
      </c>
      <c r="T232">
        <v>966311870</v>
      </c>
    </row>
    <row r="233" spans="1:20" x14ac:dyDescent="0.25">
      <c r="A233">
        <v>1460395</v>
      </c>
      <c r="B233" t="s">
        <v>1259</v>
      </c>
      <c r="C233" t="s">
        <v>1260</v>
      </c>
      <c r="D233" t="s">
        <v>131</v>
      </c>
      <c r="E233" t="s">
        <v>669</v>
      </c>
      <c r="F233">
        <v>2016</v>
      </c>
      <c r="G233" t="s">
        <v>1063</v>
      </c>
      <c r="H233" t="s">
        <v>1261</v>
      </c>
      <c r="I233" t="s">
        <v>1262</v>
      </c>
      <c r="J233" t="s">
        <v>26</v>
      </c>
      <c r="K233" t="s">
        <v>48</v>
      </c>
      <c r="L233" t="b">
        <v>1</v>
      </c>
      <c r="M233" t="s">
        <v>1263</v>
      </c>
      <c r="N233" t="str">
        <f>"862/.64"</f>
        <v>862/.64</v>
      </c>
      <c r="O233" t="s">
        <v>764</v>
      </c>
      <c r="P233" t="b">
        <v>1</v>
      </c>
      <c r="R233" t="str">
        <f>"9781783197279"</f>
        <v>9781783197279</v>
      </c>
      <c r="S233" t="str">
        <f>"9781783197286"</f>
        <v>9781783197286</v>
      </c>
      <c r="T233">
        <v>985691895</v>
      </c>
    </row>
    <row r="234" spans="1:20" x14ac:dyDescent="0.25">
      <c r="A234">
        <v>1460394</v>
      </c>
      <c r="B234" t="s">
        <v>1264</v>
      </c>
      <c r="D234" t="s">
        <v>131</v>
      </c>
      <c r="E234" t="s">
        <v>669</v>
      </c>
      <c r="F234">
        <v>2016</v>
      </c>
      <c r="G234" t="s">
        <v>670</v>
      </c>
      <c r="H234" t="s">
        <v>1265</v>
      </c>
      <c r="I234" t="s">
        <v>1266</v>
      </c>
      <c r="J234" t="s">
        <v>26</v>
      </c>
      <c r="K234" t="s">
        <v>48</v>
      </c>
      <c r="L234" t="b">
        <v>1</v>
      </c>
      <c r="M234" t="s">
        <v>1267</v>
      </c>
      <c r="N234" t="str">
        <f>"822.914"</f>
        <v>822.914</v>
      </c>
      <c r="O234" t="s">
        <v>764</v>
      </c>
      <c r="P234" t="b">
        <v>1</v>
      </c>
      <c r="R234" t="str">
        <f>"9781783193110"</f>
        <v>9781783193110</v>
      </c>
      <c r="S234" t="str">
        <f>"9781783193127"</f>
        <v>9781783193127</v>
      </c>
      <c r="T234">
        <v>960165644</v>
      </c>
    </row>
    <row r="235" spans="1:20" x14ac:dyDescent="0.25">
      <c r="A235">
        <v>1460393</v>
      </c>
      <c r="B235" t="s">
        <v>1268</v>
      </c>
      <c r="C235" t="s">
        <v>1269</v>
      </c>
      <c r="D235" t="s">
        <v>131</v>
      </c>
      <c r="E235" t="s">
        <v>669</v>
      </c>
      <c r="F235">
        <v>2016</v>
      </c>
      <c r="G235" t="s">
        <v>670</v>
      </c>
      <c r="H235" t="s">
        <v>1270</v>
      </c>
      <c r="I235" t="s">
        <v>1271</v>
      </c>
      <c r="J235" t="s">
        <v>26</v>
      </c>
      <c r="K235" t="s">
        <v>48</v>
      </c>
      <c r="L235" t="b">
        <v>1</v>
      </c>
      <c r="M235" t="s">
        <v>1272</v>
      </c>
      <c r="N235" t="str">
        <f>"822/.9208"</f>
        <v>822/.9208</v>
      </c>
      <c r="O235" t="s">
        <v>764</v>
      </c>
      <c r="P235" t="b">
        <v>1</v>
      </c>
      <c r="R235" t="str">
        <f>"9781783197651"</f>
        <v>9781783197651</v>
      </c>
      <c r="S235" t="str">
        <f>"9781783197668"</f>
        <v>9781783197668</v>
      </c>
      <c r="T235">
        <v>960165413</v>
      </c>
    </row>
    <row r="236" spans="1:20" x14ac:dyDescent="0.25">
      <c r="A236">
        <v>1460379</v>
      </c>
      <c r="B236" t="s">
        <v>1273</v>
      </c>
      <c r="C236" t="s">
        <v>1274</v>
      </c>
      <c r="D236" t="s">
        <v>644</v>
      </c>
      <c r="E236" t="s">
        <v>637</v>
      </c>
      <c r="F236">
        <v>2016</v>
      </c>
      <c r="G236" t="s">
        <v>645</v>
      </c>
      <c r="H236" t="s">
        <v>1275</v>
      </c>
      <c r="I236" t="s">
        <v>1276</v>
      </c>
      <c r="J236" t="s">
        <v>26</v>
      </c>
      <c r="K236" t="s">
        <v>48</v>
      </c>
      <c r="L236" t="b">
        <v>1</v>
      </c>
      <c r="M236" t="s">
        <v>1277</v>
      </c>
      <c r="N236" t="str">
        <f>"941.60824"</f>
        <v>941.60824</v>
      </c>
      <c r="P236" t="b">
        <v>0</v>
      </c>
      <c r="R236" t="str">
        <f>"9781781174623"</f>
        <v>9781781174623</v>
      </c>
      <c r="S236" t="str">
        <f>"9781781174630"</f>
        <v>9781781174630</v>
      </c>
      <c r="T236">
        <v>967722284</v>
      </c>
    </row>
    <row r="237" spans="1:20" x14ac:dyDescent="0.25">
      <c r="A237">
        <v>1459944</v>
      </c>
      <c r="B237" t="s">
        <v>1278</v>
      </c>
      <c r="D237" t="s">
        <v>131</v>
      </c>
      <c r="E237" t="s">
        <v>669</v>
      </c>
      <c r="F237">
        <v>2005</v>
      </c>
      <c r="G237" t="s">
        <v>1130</v>
      </c>
      <c r="H237" t="s">
        <v>1279</v>
      </c>
      <c r="J237" t="s">
        <v>26</v>
      </c>
      <c r="K237" t="s">
        <v>48</v>
      </c>
      <c r="L237" t="b">
        <v>1</v>
      </c>
      <c r="M237" t="s">
        <v>1280</v>
      </c>
      <c r="N237" t="str">
        <f>"842.7"</f>
        <v>842.7</v>
      </c>
      <c r="P237" t="b">
        <v>1</v>
      </c>
      <c r="R237" t="str">
        <f>"9781840025866"</f>
        <v>9781840025866</v>
      </c>
      <c r="S237" t="str">
        <f>"9781783192830"</f>
        <v>9781783192830</v>
      </c>
      <c r="T237">
        <v>959148926</v>
      </c>
    </row>
    <row r="238" spans="1:20" x14ac:dyDescent="0.25">
      <c r="A238">
        <v>1459942</v>
      </c>
      <c r="B238" t="s">
        <v>1281</v>
      </c>
      <c r="D238" t="s">
        <v>131</v>
      </c>
      <c r="E238" t="s">
        <v>669</v>
      </c>
      <c r="F238">
        <v>2004</v>
      </c>
      <c r="G238" t="s">
        <v>1130</v>
      </c>
      <c r="H238" t="s">
        <v>1282</v>
      </c>
      <c r="I238" t="s">
        <v>1283</v>
      </c>
      <c r="J238" t="s">
        <v>26</v>
      </c>
      <c r="K238" t="s">
        <v>48</v>
      </c>
      <c r="L238" t="b">
        <v>1</v>
      </c>
      <c r="M238" t="s">
        <v>1284</v>
      </c>
      <c r="N238" t="str">
        <f>"822.92"</f>
        <v>822.92</v>
      </c>
      <c r="O238" t="s">
        <v>912</v>
      </c>
      <c r="P238" t="b">
        <v>1</v>
      </c>
      <c r="R238" t="str">
        <f>"9781840025071"</f>
        <v>9781840025071</v>
      </c>
      <c r="S238" t="str">
        <f>"9781783192526"</f>
        <v>9781783192526</v>
      </c>
      <c r="T238">
        <v>607532784</v>
      </c>
    </row>
    <row r="239" spans="1:20" x14ac:dyDescent="0.25">
      <c r="A239">
        <v>1459870</v>
      </c>
      <c r="B239" t="s">
        <v>1285</v>
      </c>
      <c r="D239" t="s">
        <v>131</v>
      </c>
      <c r="E239" t="s">
        <v>669</v>
      </c>
      <c r="F239">
        <v>2016</v>
      </c>
      <c r="G239" t="s">
        <v>670</v>
      </c>
      <c r="H239" t="s">
        <v>1286</v>
      </c>
      <c r="I239" t="s">
        <v>1287</v>
      </c>
      <c r="J239" t="s">
        <v>26</v>
      </c>
      <c r="K239" t="s">
        <v>48</v>
      </c>
      <c r="L239" t="b">
        <v>1</v>
      </c>
      <c r="M239" t="s">
        <v>1288</v>
      </c>
      <c r="N239" t="str">
        <f>"822.92"</f>
        <v>822.92</v>
      </c>
      <c r="P239" t="b">
        <v>1</v>
      </c>
      <c r="R239" t="str">
        <f>"9781849432344"</f>
        <v>9781849432344</v>
      </c>
      <c r="S239" t="str">
        <f>"9781849435208"</f>
        <v>9781849435208</v>
      </c>
      <c r="T239">
        <v>958945847</v>
      </c>
    </row>
    <row r="240" spans="1:20" x14ac:dyDescent="0.25">
      <c r="A240">
        <v>1459840</v>
      </c>
      <c r="B240" t="s">
        <v>1289</v>
      </c>
      <c r="D240" t="s">
        <v>131</v>
      </c>
      <c r="E240" t="s">
        <v>669</v>
      </c>
      <c r="F240">
        <v>2016</v>
      </c>
      <c r="G240" t="s">
        <v>1130</v>
      </c>
      <c r="H240" t="s">
        <v>1290</v>
      </c>
      <c r="I240" t="s">
        <v>910</v>
      </c>
      <c r="J240" t="s">
        <v>26</v>
      </c>
      <c r="K240" t="s">
        <v>48</v>
      </c>
      <c r="L240" t="b">
        <v>1</v>
      </c>
      <c r="M240" t="s">
        <v>1291</v>
      </c>
      <c r="N240" t="str">
        <f>"812.6"</f>
        <v>812.6</v>
      </c>
      <c r="P240" t="b">
        <v>1</v>
      </c>
      <c r="R240" t="str">
        <f>"9781840023701"</f>
        <v>9781840023701</v>
      </c>
      <c r="S240" t="str">
        <f>"9781783198436"</f>
        <v>9781783198436</v>
      </c>
      <c r="T240">
        <v>958945950</v>
      </c>
    </row>
    <row r="241" spans="1:20" x14ac:dyDescent="0.25">
      <c r="A241">
        <v>1459839</v>
      </c>
      <c r="B241" t="s">
        <v>1292</v>
      </c>
      <c r="D241" t="s">
        <v>131</v>
      </c>
      <c r="E241" t="s">
        <v>669</v>
      </c>
      <c r="F241">
        <v>2016</v>
      </c>
      <c r="G241" t="s">
        <v>1130</v>
      </c>
      <c r="H241" t="s">
        <v>1293</v>
      </c>
      <c r="I241" t="s">
        <v>1294</v>
      </c>
      <c r="J241" t="s">
        <v>26</v>
      </c>
      <c r="K241" t="s">
        <v>48</v>
      </c>
      <c r="L241" t="b">
        <v>1</v>
      </c>
      <c r="M241" t="s">
        <v>1295</v>
      </c>
      <c r="N241" t="str">
        <f>"812.6"</f>
        <v>812.6</v>
      </c>
      <c r="P241" t="b">
        <v>1</v>
      </c>
      <c r="R241" t="str">
        <f>"9781849432122"</f>
        <v>9781849432122</v>
      </c>
      <c r="S241" t="str">
        <f>"9781783198429"</f>
        <v>9781783198429</v>
      </c>
      <c r="T241">
        <v>958945980</v>
      </c>
    </row>
    <row r="242" spans="1:20" x14ac:dyDescent="0.25">
      <c r="A242">
        <v>1459835</v>
      </c>
      <c r="B242" t="s">
        <v>1296</v>
      </c>
      <c r="D242" t="s">
        <v>131</v>
      </c>
      <c r="E242" t="s">
        <v>669</v>
      </c>
      <c r="F242">
        <v>2014</v>
      </c>
      <c r="G242" t="s">
        <v>1130</v>
      </c>
      <c r="H242" t="s">
        <v>1297</v>
      </c>
      <c r="I242" t="s">
        <v>1298</v>
      </c>
      <c r="J242" t="s">
        <v>26</v>
      </c>
      <c r="K242" t="s">
        <v>48</v>
      </c>
      <c r="L242" t="b">
        <v>1</v>
      </c>
      <c r="M242" t="s">
        <v>1299</v>
      </c>
      <c r="N242" t="str">
        <f>"822.8"</f>
        <v>822.8</v>
      </c>
      <c r="O242" t="s">
        <v>912</v>
      </c>
      <c r="P242" t="b">
        <v>1</v>
      </c>
      <c r="R242" t="str">
        <f>"9781783191352"</f>
        <v>9781783191352</v>
      </c>
      <c r="S242" t="str">
        <f>"9781783197897"</f>
        <v>9781783197897</v>
      </c>
      <c r="T242">
        <v>959148872</v>
      </c>
    </row>
    <row r="243" spans="1:20" x14ac:dyDescent="0.25">
      <c r="A243">
        <v>1459834</v>
      </c>
      <c r="B243" t="s">
        <v>1300</v>
      </c>
      <c r="D243" t="s">
        <v>131</v>
      </c>
      <c r="E243" t="s">
        <v>669</v>
      </c>
      <c r="F243">
        <v>2016</v>
      </c>
      <c r="G243" t="s">
        <v>1301</v>
      </c>
      <c r="H243" t="s">
        <v>1302</v>
      </c>
      <c r="I243" t="s">
        <v>1069</v>
      </c>
      <c r="J243" t="s">
        <v>26</v>
      </c>
      <c r="K243" t="s">
        <v>48</v>
      </c>
      <c r="L243" t="b">
        <v>1</v>
      </c>
      <c r="M243" t="s">
        <v>1303</v>
      </c>
      <c r="N243" t="str">
        <f>"862.7"</f>
        <v>862.7</v>
      </c>
      <c r="P243" t="b">
        <v>1</v>
      </c>
      <c r="R243" t="str">
        <f>"9781840025774"</f>
        <v>9781840025774</v>
      </c>
      <c r="S243" t="str">
        <f>"9781783197873"</f>
        <v>9781783197873</v>
      </c>
      <c r="T243">
        <v>958945981</v>
      </c>
    </row>
    <row r="244" spans="1:20" x14ac:dyDescent="0.25">
      <c r="A244">
        <v>1459833</v>
      </c>
      <c r="B244" t="s">
        <v>1304</v>
      </c>
      <c r="D244" t="s">
        <v>131</v>
      </c>
      <c r="E244" t="s">
        <v>669</v>
      </c>
      <c r="F244">
        <v>2016</v>
      </c>
      <c r="G244" t="s">
        <v>1130</v>
      </c>
      <c r="H244" t="s">
        <v>924</v>
      </c>
      <c r="I244" t="s">
        <v>1305</v>
      </c>
      <c r="J244" t="s">
        <v>26</v>
      </c>
      <c r="K244" t="s">
        <v>48</v>
      </c>
      <c r="L244" t="b">
        <v>1</v>
      </c>
      <c r="M244" t="s">
        <v>926</v>
      </c>
      <c r="N244" t="str">
        <f>"822.92"</f>
        <v>822.92</v>
      </c>
      <c r="P244" t="b">
        <v>1</v>
      </c>
      <c r="R244" t="str">
        <f>"9781840024470"</f>
        <v>9781840024470</v>
      </c>
      <c r="S244" t="str">
        <f>"9781783197859"</f>
        <v>9781783197859</v>
      </c>
      <c r="T244">
        <v>958945913</v>
      </c>
    </row>
    <row r="245" spans="1:20" x14ac:dyDescent="0.25">
      <c r="A245">
        <v>1459832</v>
      </c>
      <c r="B245" t="s">
        <v>1306</v>
      </c>
      <c r="D245" t="s">
        <v>131</v>
      </c>
      <c r="E245" t="s">
        <v>669</v>
      </c>
      <c r="F245">
        <v>2016</v>
      </c>
      <c r="G245" t="s">
        <v>1130</v>
      </c>
      <c r="H245" t="s">
        <v>1307</v>
      </c>
      <c r="I245" t="s">
        <v>1308</v>
      </c>
      <c r="J245" t="s">
        <v>26</v>
      </c>
      <c r="K245" t="s">
        <v>48</v>
      </c>
      <c r="L245" t="b">
        <v>1</v>
      </c>
      <c r="M245" t="s">
        <v>1309</v>
      </c>
      <c r="N245" t="str">
        <f>"822.92"</f>
        <v>822.92</v>
      </c>
      <c r="O245" t="s">
        <v>912</v>
      </c>
      <c r="P245" t="b">
        <v>1</v>
      </c>
      <c r="R245" t="str">
        <f>"9781783191345"</f>
        <v>9781783191345</v>
      </c>
      <c r="S245" t="str">
        <f>"9781783196333"</f>
        <v>9781783196333</v>
      </c>
      <c r="T245">
        <v>958945603</v>
      </c>
    </row>
    <row r="246" spans="1:20" x14ac:dyDescent="0.25">
      <c r="A246">
        <v>1459827</v>
      </c>
      <c r="B246" t="s">
        <v>1310</v>
      </c>
      <c r="D246" t="s">
        <v>131</v>
      </c>
      <c r="E246" t="s">
        <v>669</v>
      </c>
      <c r="F246">
        <v>2003</v>
      </c>
      <c r="G246" t="s">
        <v>1130</v>
      </c>
      <c r="H246" t="s">
        <v>1311</v>
      </c>
      <c r="I246" t="s">
        <v>1312</v>
      </c>
      <c r="J246" t="s">
        <v>26</v>
      </c>
      <c r="K246" t="s">
        <v>48</v>
      </c>
      <c r="L246" t="b">
        <v>1</v>
      </c>
      <c r="M246" t="s">
        <v>1313</v>
      </c>
      <c r="N246" t="str">
        <f>"842.8"</f>
        <v>842.8</v>
      </c>
      <c r="O246" t="s">
        <v>1314</v>
      </c>
      <c r="P246" t="b">
        <v>1</v>
      </c>
      <c r="R246" t="str">
        <f>"9781840023787"</f>
        <v>9781840023787</v>
      </c>
      <c r="S246" t="str">
        <f>"9781783197927"</f>
        <v>9781783197927</v>
      </c>
      <c r="T246">
        <v>647436237</v>
      </c>
    </row>
    <row r="247" spans="1:20" x14ac:dyDescent="0.25">
      <c r="A247">
        <v>1459826</v>
      </c>
      <c r="B247" t="s">
        <v>1315</v>
      </c>
      <c r="D247" t="s">
        <v>131</v>
      </c>
      <c r="E247" t="s">
        <v>669</v>
      </c>
      <c r="F247">
        <v>2016</v>
      </c>
      <c r="G247" t="s">
        <v>1130</v>
      </c>
      <c r="H247" t="s">
        <v>1316</v>
      </c>
      <c r="I247" t="s">
        <v>1317</v>
      </c>
      <c r="J247" t="s">
        <v>26</v>
      </c>
      <c r="K247" t="s">
        <v>48</v>
      </c>
      <c r="L247" t="b">
        <v>1</v>
      </c>
      <c r="M247" t="s">
        <v>1318</v>
      </c>
      <c r="N247" t="str">
        <f>"822.914"</f>
        <v>822.914</v>
      </c>
      <c r="P247" t="b">
        <v>1</v>
      </c>
      <c r="R247" t="str">
        <f>"9781840022056"</f>
        <v>9781840022056</v>
      </c>
      <c r="S247" t="str">
        <f>"9781783197934"</f>
        <v>9781783197934</v>
      </c>
      <c r="T247">
        <v>958946012</v>
      </c>
    </row>
    <row r="248" spans="1:20" x14ac:dyDescent="0.25">
      <c r="A248">
        <v>1459816</v>
      </c>
      <c r="B248" t="s">
        <v>1319</v>
      </c>
      <c r="D248" t="s">
        <v>131</v>
      </c>
      <c r="E248" t="s">
        <v>669</v>
      </c>
      <c r="F248">
        <v>1990</v>
      </c>
      <c r="G248" t="s">
        <v>1130</v>
      </c>
      <c r="H248" t="s">
        <v>1320</v>
      </c>
      <c r="I248" t="s">
        <v>1257</v>
      </c>
      <c r="J248" t="s">
        <v>26</v>
      </c>
      <c r="K248" t="s">
        <v>48</v>
      </c>
      <c r="L248" t="b">
        <v>1</v>
      </c>
      <c r="M248" t="s">
        <v>1321</v>
      </c>
      <c r="N248" t="str">
        <f>"822/.914"</f>
        <v>822/.914</v>
      </c>
      <c r="P248" t="b">
        <v>1</v>
      </c>
      <c r="R248" t="str">
        <f>"9781870259101"</f>
        <v>9781870259101</v>
      </c>
      <c r="S248" t="str">
        <f>"9781783198450"</f>
        <v>9781783198450</v>
      </c>
      <c r="T248">
        <v>959149172</v>
      </c>
    </row>
    <row r="249" spans="1:20" x14ac:dyDescent="0.25">
      <c r="A249">
        <v>1459808</v>
      </c>
      <c r="B249" t="s">
        <v>1322</v>
      </c>
      <c r="D249" t="s">
        <v>131</v>
      </c>
      <c r="E249" t="s">
        <v>669</v>
      </c>
      <c r="F249">
        <v>2016</v>
      </c>
      <c r="G249" t="s">
        <v>670</v>
      </c>
      <c r="H249" t="s">
        <v>1323</v>
      </c>
      <c r="I249" t="s">
        <v>1324</v>
      </c>
      <c r="J249" t="s">
        <v>26</v>
      </c>
      <c r="K249" t="s">
        <v>48</v>
      </c>
      <c r="L249" t="b">
        <v>1</v>
      </c>
      <c r="M249" t="s">
        <v>1325</v>
      </c>
      <c r="N249" t="str">
        <f>"812.6"</f>
        <v>812.6</v>
      </c>
      <c r="O249" t="s">
        <v>764</v>
      </c>
      <c r="P249" t="b">
        <v>1</v>
      </c>
      <c r="R249" t="str">
        <f>"9781783197590"</f>
        <v>9781783197590</v>
      </c>
      <c r="S249" t="str">
        <f>"9781783197606"</f>
        <v>9781783197606</v>
      </c>
      <c r="T249">
        <v>958480984</v>
      </c>
    </row>
    <row r="250" spans="1:20" x14ac:dyDescent="0.25">
      <c r="A250">
        <v>1459799</v>
      </c>
      <c r="B250" t="s">
        <v>1326</v>
      </c>
      <c r="D250" t="s">
        <v>644</v>
      </c>
      <c r="E250" t="s">
        <v>637</v>
      </c>
      <c r="F250">
        <v>2016</v>
      </c>
      <c r="G250" t="s">
        <v>1327</v>
      </c>
      <c r="H250" t="s">
        <v>1328</v>
      </c>
      <c r="I250" t="s">
        <v>1329</v>
      </c>
      <c r="J250" t="s">
        <v>26</v>
      </c>
      <c r="K250" t="s">
        <v>48</v>
      </c>
      <c r="L250" t="b">
        <v>1</v>
      </c>
      <c r="M250" t="s">
        <v>1330</v>
      </c>
      <c r="N250" t="str">
        <f>"658.82"</f>
        <v>658.82</v>
      </c>
      <c r="P250" t="b">
        <v>0</v>
      </c>
      <c r="R250" t="str">
        <f>"9781781174104"</f>
        <v>9781781174104</v>
      </c>
      <c r="S250" t="str">
        <f>"9781781174111"</f>
        <v>9781781174111</v>
      </c>
      <c r="T250">
        <v>958566124</v>
      </c>
    </row>
    <row r="251" spans="1:20" x14ac:dyDescent="0.25">
      <c r="A251">
        <v>1459796</v>
      </c>
      <c r="B251" t="s">
        <v>1331</v>
      </c>
      <c r="D251" t="s">
        <v>131</v>
      </c>
      <c r="E251" t="s">
        <v>669</v>
      </c>
      <c r="F251">
        <v>2016</v>
      </c>
      <c r="G251" t="s">
        <v>1130</v>
      </c>
      <c r="H251" t="s">
        <v>1332</v>
      </c>
      <c r="J251" t="s">
        <v>26</v>
      </c>
      <c r="K251" t="s">
        <v>48</v>
      </c>
      <c r="L251" t="b">
        <v>1</v>
      </c>
      <c r="M251" t="s">
        <v>1333</v>
      </c>
      <c r="N251" t="str">
        <f>"822.914"</f>
        <v>822.914</v>
      </c>
      <c r="P251" t="b">
        <v>1</v>
      </c>
      <c r="R251" t="str">
        <f>"9781840020991"</f>
        <v>9781840020991</v>
      </c>
      <c r="S251" t="str">
        <f>"9781849438537"</f>
        <v>9781849438537</v>
      </c>
      <c r="T251">
        <v>958945820</v>
      </c>
    </row>
    <row r="252" spans="1:20" x14ac:dyDescent="0.25">
      <c r="A252">
        <v>1459665</v>
      </c>
      <c r="B252" t="s">
        <v>1334</v>
      </c>
      <c r="D252" t="s">
        <v>131</v>
      </c>
      <c r="E252" t="s">
        <v>669</v>
      </c>
      <c r="F252">
        <v>2016</v>
      </c>
      <c r="G252" t="s">
        <v>670</v>
      </c>
      <c r="H252" t="s">
        <v>1335</v>
      </c>
      <c r="I252" t="s">
        <v>1336</v>
      </c>
      <c r="J252" t="s">
        <v>26</v>
      </c>
      <c r="K252" t="s">
        <v>48</v>
      </c>
      <c r="L252" t="b">
        <v>1</v>
      </c>
      <c r="M252" t="s">
        <v>1337</v>
      </c>
      <c r="N252" t="str">
        <f>"822/.92"</f>
        <v>822/.92</v>
      </c>
      <c r="P252" t="b">
        <v>1</v>
      </c>
      <c r="R252" t="str">
        <f>"9781786820037"</f>
        <v>9781786820037</v>
      </c>
      <c r="S252" t="str">
        <f>"9781786820044"</f>
        <v>9781786820044</v>
      </c>
      <c r="T252">
        <v>958945971</v>
      </c>
    </row>
    <row r="253" spans="1:20" x14ac:dyDescent="0.25">
      <c r="A253">
        <v>1459656</v>
      </c>
      <c r="B253" t="s">
        <v>1338</v>
      </c>
      <c r="D253" t="s">
        <v>131</v>
      </c>
      <c r="E253" t="s">
        <v>669</v>
      </c>
      <c r="F253">
        <v>2016</v>
      </c>
      <c r="G253" t="s">
        <v>670</v>
      </c>
      <c r="H253" t="s">
        <v>1339</v>
      </c>
      <c r="I253" t="s">
        <v>1340</v>
      </c>
      <c r="J253" t="s">
        <v>26</v>
      </c>
      <c r="K253" t="s">
        <v>48</v>
      </c>
      <c r="L253" t="b">
        <v>1</v>
      </c>
      <c r="M253" t="s">
        <v>1341</v>
      </c>
      <c r="N253" t="str">
        <f>"822/.92"</f>
        <v>822/.92</v>
      </c>
      <c r="P253" t="b">
        <v>1</v>
      </c>
      <c r="R253" t="str">
        <f>"9781783198283"</f>
        <v>9781783198283</v>
      </c>
      <c r="S253" t="str">
        <f>"9781783198290"</f>
        <v>9781783198290</v>
      </c>
      <c r="T253">
        <v>959150494</v>
      </c>
    </row>
    <row r="254" spans="1:20" x14ac:dyDescent="0.25">
      <c r="A254">
        <v>1459648</v>
      </c>
      <c r="B254" t="s">
        <v>1342</v>
      </c>
      <c r="D254" t="s">
        <v>203</v>
      </c>
      <c r="E254" t="s">
        <v>1109</v>
      </c>
      <c r="F254">
        <v>2016</v>
      </c>
      <c r="G254" t="s">
        <v>1110</v>
      </c>
      <c r="H254" t="s">
        <v>1343</v>
      </c>
      <c r="I254" t="s">
        <v>1344</v>
      </c>
      <c r="J254" t="s">
        <v>26</v>
      </c>
      <c r="K254" t="s">
        <v>48</v>
      </c>
      <c r="L254" t="b">
        <v>1</v>
      </c>
      <c r="M254" t="s">
        <v>1345</v>
      </c>
      <c r="N254" t="str">
        <f>"344.42044"</f>
        <v>344.42044</v>
      </c>
      <c r="P254" t="b">
        <v>0</v>
      </c>
      <c r="R254" t="str">
        <f>"9781909726628"</f>
        <v>9781909726628</v>
      </c>
      <c r="S254" t="str">
        <f>"9781909726635"</f>
        <v>9781909726635</v>
      </c>
      <c r="T254">
        <v>958782413</v>
      </c>
    </row>
    <row r="255" spans="1:20" x14ac:dyDescent="0.25">
      <c r="A255">
        <v>1459565</v>
      </c>
      <c r="B255" t="s">
        <v>1346</v>
      </c>
      <c r="D255" t="s">
        <v>131</v>
      </c>
      <c r="E255" t="s">
        <v>669</v>
      </c>
      <c r="F255">
        <v>2016</v>
      </c>
      <c r="G255" t="s">
        <v>670</v>
      </c>
      <c r="H255" t="s">
        <v>1347</v>
      </c>
      <c r="I255" t="s">
        <v>1348</v>
      </c>
      <c r="J255" t="s">
        <v>26</v>
      </c>
      <c r="K255" t="s">
        <v>48</v>
      </c>
      <c r="L255" t="b">
        <v>1</v>
      </c>
      <c r="M255" t="s">
        <v>1349</v>
      </c>
      <c r="N255" t="str">
        <f>"822/.912"</f>
        <v>822/.912</v>
      </c>
      <c r="O255" t="s">
        <v>912</v>
      </c>
      <c r="P255" t="b">
        <v>1</v>
      </c>
      <c r="R255" t="str">
        <f>"9781786820174"</f>
        <v>9781786820174</v>
      </c>
      <c r="S255" t="str">
        <f>"9781786820181"</f>
        <v>9781786820181</v>
      </c>
      <c r="T255">
        <v>958582826</v>
      </c>
    </row>
    <row r="256" spans="1:20" x14ac:dyDescent="0.25">
      <c r="A256">
        <v>1459559</v>
      </c>
      <c r="B256" t="s">
        <v>1350</v>
      </c>
      <c r="D256" t="s">
        <v>131</v>
      </c>
      <c r="E256" t="s">
        <v>669</v>
      </c>
      <c r="F256">
        <v>2016</v>
      </c>
      <c r="G256" t="s">
        <v>670</v>
      </c>
      <c r="H256" t="s">
        <v>1351</v>
      </c>
      <c r="I256" t="s">
        <v>1352</v>
      </c>
      <c r="J256" t="s">
        <v>26</v>
      </c>
      <c r="K256" t="s">
        <v>48</v>
      </c>
      <c r="L256" t="b">
        <v>1</v>
      </c>
      <c r="M256" t="s">
        <v>1353</v>
      </c>
      <c r="N256" t="str">
        <f>"822/.92"</f>
        <v>822/.92</v>
      </c>
      <c r="O256" t="s">
        <v>912</v>
      </c>
      <c r="P256" t="b">
        <v>1</v>
      </c>
      <c r="R256" t="str">
        <f>"9781783197392"</f>
        <v>9781783197392</v>
      </c>
      <c r="S256" t="str">
        <f>"9781783197408"</f>
        <v>9781783197408</v>
      </c>
      <c r="T256">
        <v>958782800</v>
      </c>
    </row>
    <row r="257" spans="1:20" x14ac:dyDescent="0.25">
      <c r="A257">
        <v>1459558</v>
      </c>
      <c r="B257" t="s">
        <v>1354</v>
      </c>
      <c r="D257" t="s">
        <v>131</v>
      </c>
      <c r="E257" t="s">
        <v>669</v>
      </c>
      <c r="F257">
        <v>2016</v>
      </c>
      <c r="G257" t="s">
        <v>670</v>
      </c>
      <c r="H257" t="s">
        <v>1355</v>
      </c>
      <c r="I257" t="s">
        <v>1356</v>
      </c>
      <c r="J257" t="s">
        <v>26</v>
      </c>
      <c r="K257" t="s">
        <v>48</v>
      </c>
      <c r="L257" t="b">
        <v>1</v>
      </c>
      <c r="M257" t="s">
        <v>1357</v>
      </c>
      <c r="N257" t="str">
        <f>"822/.92"</f>
        <v>822/.92</v>
      </c>
      <c r="O257" t="s">
        <v>912</v>
      </c>
      <c r="P257" t="b">
        <v>1</v>
      </c>
      <c r="R257" t="str">
        <f>"9781786820136"</f>
        <v>9781786820136</v>
      </c>
      <c r="S257" t="str">
        <f>"9781786820143"</f>
        <v>9781786820143</v>
      </c>
      <c r="T257">
        <v>959148713</v>
      </c>
    </row>
    <row r="258" spans="1:20" x14ac:dyDescent="0.25">
      <c r="A258">
        <v>1459552</v>
      </c>
      <c r="B258" t="s">
        <v>1358</v>
      </c>
      <c r="D258" t="s">
        <v>131</v>
      </c>
      <c r="E258" t="s">
        <v>669</v>
      </c>
      <c r="F258">
        <v>2016</v>
      </c>
      <c r="G258" t="s">
        <v>670</v>
      </c>
      <c r="H258" t="s">
        <v>1359</v>
      </c>
      <c r="I258" t="s">
        <v>1360</v>
      </c>
      <c r="J258" t="s">
        <v>26</v>
      </c>
      <c r="K258" t="s">
        <v>48</v>
      </c>
      <c r="L258" t="b">
        <v>1</v>
      </c>
      <c r="M258" t="s">
        <v>1361</v>
      </c>
      <c r="N258" t="str">
        <f>"822/.92"</f>
        <v>822/.92</v>
      </c>
      <c r="P258" t="b">
        <v>1</v>
      </c>
      <c r="R258" t="str">
        <f>"9781786820358"</f>
        <v>9781786820358</v>
      </c>
      <c r="S258" t="str">
        <f>"9781786820365"</f>
        <v>9781786820365</v>
      </c>
      <c r="T258">
        <v>958566296</v>
      </c>
    </row>
    <row r="259" spans="1:20" x14ac:dyDescent="0.25">
      <c r="A259">
        <v>1458975</v>
      </c>
      <c r="B259" t="s">
        <v>1362</v>
      </c>
      <c r="C259" t="s">
        <v>1363</v>
      </c>
      <c r="D259" t="s">
        <v>1364</v>
      </c>
      <c r="E259" t="s">
        <v>1365</v>
      </c>
      <c r="F259">
        <v>2017</v>
      </c>
      <c r="G259" t="s">
        <v>1366</v>
      </c>
      <c r="H259" t="s">
        <v>1367</v>
      </c>
      <c r="I259" t="s">
        <v>1368</v>
      </c>
      <c r="J259" t="s">
        <v>26</v>
      </c>
      <c r="K259" t="s">
        <v>86</v>
      </c>
      <c r="L259" t="b">
        <v>1</v>
      </c>
      <c r="M259" t="s">
        <v>1369</v>
      </c>
      <c r="N259" t="str">
        <f>"331/.090954"</f>
        <v>331/.090954</v>
      </c>
      <c r="O259" t="s">
        <v>1370</v>
      </c>
      <c r="P259" t="b">
        <v>0</v>
      </c>
      <c r="R259" t="str">
        <f>"9783110461152"</f>
        <v>9783110461152</v>
      </c>
      <c r="S259" t="str">
        <f>"9783110461282"</f>
        <v>9783110461282</v>
      </c>
      <c r="T259">
        <v>970384223</v>
      </c>
    </row>
    <row r="260" spans="1:20" x14ac:dyDescent="0.25">
      <c r="A260">
        <v>1455118</v>
      </c>
      <c r="B260" t="s">
        <v>1371</v>
      </c>
      <c r="D260" t="s">
        <v>203</v>
      </c>
      <c r="E260" t="s">
        <v>1372</v>
      </c>
      <c r="F260">
        <v>2016</v>
      </c>
      <c r="G260" t="s">
        <v>1373</v>
      </c>
      <c r="H260" t="s">
        <v>1374</v>
      </c>
      <c r="I260" t="s">
        <v>1375</v>
      </c>
      <c r="J260" t="s">
        <v>26</v>
      </c>
      <c r="K260" t="s">
        <v>48</v>
      </c>
      <c r="L260" t="b">
        <v>1</v>
      </c>
      <c r="M260" t="s">
        <v>1376</v>
      </c>
      <c r="N260" t="str">
        <f>"813.6"</f>
        <v>813.6</v>
      </c>
      <c r="P260" t="b">
        <v>1</v>
      </c>
      <c r="R260" t="str">
        <f>"9780857666239"</f>
        <v>9780857666239</v>
      </c>
      <c r="S260" t="str">
        <f>"9780857666253"</f>
        <v>9780857666253</v>
      </c>
      <c r="T260">
        <v>966132420</v>
      </c>
    </row>
    <row r="261" spans="1:20" x14ac:dyDescent="0.25">
      <c r="A261">
        <v>1454694</v>
      </c>
      <c r="B261" t="s">
        <v>1377</v>
      </c>
      <c r="D261" t="s">
        <v>255</v>
      </c>
      <c r="E261" t="s">
        <v>1378</v>
      </c>
      <c r="F261">
        <v>2016</v>
      </c>
      <c r="G261" t="s">
        <v>1379</v>
      </c>
      <c r="H261" t="s">
        <v>1380</v>
      </c>
      <c r="I261" t="s">
        <v>1381</v>
      </c>
      <c r="J261" t="s">
        <v>26</v>
      </c>
      <c r="K261" t="s">
        <v>48</v>
      </c>
      <c r="L261" t="b">
        <v>1</v>
      </c>
      <c r="M261" t="s">
        <v>1382</v>
      </c>
      <c r="N261" t="str">
        <f>"070.593"</f>
        <v>070.593</v>
      </c>
      <c r="P261" t="b">
        <v>0</v>
      </c>
      <c r="S261" t="str">
        <f>"9781495619885"</f>
        <v>9781495619885</v>
      </c>
      <c r="T261">
        <v>969433807</v>
      </c>
    </row>
    <row r="262" spans="1:20" x14ac:dyDescent="0.25">
      <c r="A262">
        <v>1450293</v>
      </c>
      <c r="B262" t="s">
        <v>1383</v>
      </c>
      <c r="C262" t="s">
        <v>1384</v>
      </c>
      <c r="D262" t="s">
        <v>644</v>
      </c>
      <c r="E262" t="s">
        <v>637</v>
      </c>
      <c r="F262">
        <v>2016</v>
      </c>
      <c r="G262" t="s">
        <v>645</v>
      </c>
      <c r="H262" t="s">
        <v>1385</v>
      </c>
      <c r="I262" t="s">
        <v>1386</v>
      </c>
      <c r="J262" t="s">
        <v>26</v>
      </c>
      <c r="K262" t="s">
        <v>48</v>
      </c>
      <c r="L262" t="b">
        <v>1</v>
      </c>
      <c r="M262" t="s">
        <v>1387</v>
      </c>
      <c r="N262" t="str">
        <f>"363.325094109043"</f>
        <v>363.325094109043</v>
      </c>
      <c r="P262" t="b">
        <v>0</v>
      </c>
      <c r="R262" t="str">
        <f>"9781781174180"</f>
        <v>9781781174180</v>
      </c>
      <c r="S262" t="str">
        <f>"9781781174197"</f>
        <v>9781781174197</v>
      </c>
      <c r="T262">
        <v>952932556</v>
      </c>
    </row>
    <row r="263" spans="1:20" x14ac:dyDescent="0.25">
      <c r="A263">
        <v>1450207</v>
      </c>
      <c r="B263" t="s">
        <v>1388</v>
      </c>
      <c r="C263" t="s">
        <v>1389</v>
      </c>
      <c r="D263" t="s">
        <v>203</v>
      </c>
      <c r="E263" t="s">
        <v>1390</v>
      </c>
      <c r="F263">
        <v>2016</v>
      </c>
      <c r="G263" t="s">
        <v>1391</v>
      </c>
      <c r="H263" t="s">
        <v>1392</v>
      </c>
      <c r="I263" t="s">
        <v>1393</v>
      </c>
      <c r="J263" t="s">
        <v>26</v>
      </c>
      <c r="K263" t="s">
        <v>48</v>
      </c>
      <c r="L263" t="b">
        <v>1</v>
      </c>
      <c r="M263" t="s">
        <v>1394</v>
      </c>
      <c r="N263" t="str">
        <f>"324.4"</f>
        <v>324.4</v>
      </c>
      <c r="P263" t="b">
        <v>0</v>
      </c>
      <c r="R263" t="str">
        <f>"9781910692127"</f>
        <v>9781910692127</v>
      </c>
      <c r="S263" t="str">
        <f>"9781910692134"</f>
        <v>9781910692134</v>
      </c>
      <c r="T263">
        <v>958450177</v>
      </c>
    </row>
    <row r="264" spans="1:20" x14ac:dyDescent="0.25">
      <c r="A264">
        <v>1449312</v>
      </c>
      <c r="B264" t="s">
        <v>1395</v>
      </c>
      <c r="D264" t="s">
        <v>211</v>
      </c>
      <c r="E264" t="s">
        <v>212</v>
      </c>
      <c r="F264">
        <v>2016</v>
      </c>
      <c r="G264" t="s">
        <v>1396</v>
      </c>
      <c r="H264" t="s">
        <v>1397</v>
      </c>
      <c r="I264" t="s">
        <v>1398</v>
      </c>
      <c r="J264" t="s">
        <v>26</v>
      </c>
      <c r="K264" t="s">
        <v>27</v>
      </c>
      <c r="L264" t="b">
        <v>1</v>
      </c>
      <c r="M264" t="s">
        <v>1399</v>
      </c>
      <c r="N264" t="str">
        <f>"355.223630994"</f>
        <v>355.223630994</v>
      </c>
      <c r="P264" t="b">
        <v>0</v>
      </c>
      <c r="Q264" t="b">
        <v>0</v>
      </c>
      <c r="S264" t="str">
        <f>"9781925377231"</f>
        <v>9781925377231</v>
      </c>
      <c r="T264">
        <v>967938938</v>
      </c>
    </row>
    <row r="265" spans="1:20" x14ac:dyDescent="0.25">
      <c r="A265">
        <v>1446320</v>
      </c>
      <c r="B265" t="s">
        <v>1400</v>
      </c>
      <c r="D265" t="s">
        <v>203</v>
      </c>
      <c r="E265" t="s">
        <v>1109</v>
      </c>
      <c r="F265">
        <v>2016</v>
      </c>
      <c r="G265" t="s">
        <v>1110</v>
      </c>
      <c r="H265" t="s">
        <v>1401</v>
      </c>
      <c r="I265" t="s">
        <v>1402</v>
      </c>
      <c r="J265" t="s">
        <v>26</v>
      </c>
      <c r="K265" t="s">
        <v>48</v>
      </c>
      <c r="L265" t="b">
        <v>1</v>
      </c>
      <c r="M265" t="s">
        <v>1403</v>
      </c>
      <c r="N265" t="str">
        <f>"344.404/4"</f>
        <v>344.404/4</v>
      </c>
      <c r="P265" t="b">
        <v>0</v>
      </c>
      <c r="R265" t="str">
        <f>"9781909726512"</f>
        <v>9781909726512</v>
      </c>
      <c r="S265" t="str">
        <f>"9781909726529"</f>
        <v>9781909726529</v>
      </c>
      <c r="T265">
        <v>987721862</v>
      </c>
    </row>
    <row r="266" spans="1:20" x14ac:dyDescent="0.25">
      <c r="A266">
        <v>1446317</v>
      </c>
      <c r="B266" t="s">
        <v>1404</v>
      </c>
      <c r="D266" t="s">
        <v>131</v>
      </c>
      <c r="E266" t="s">
        <v>669</v>
      </c>
      <c r="F266">
        <v>2016</v>
      </c>
      <c r="G266" t="s">
        <v>1405</v>
      </c>
      <c r="H266" t="s">
        <v>1406</v>
      </c>
      <c r="I266" t="s">
        <v>1407</v>
      </c>
      <c r="J266" t="s">
        <v>26</v>
      </c>
      <c r="K266" t="s">
        <v>48</v>
      </c>
      <c r="L266" t="b">
        <v>1</v>
      </c>
      <c r="M266" t="s">
        <v>1408</v>
      </c>
      <c r="N266" t="str">
        <f>"792.8092"</f>
        <v>792.8092</v>
      </c>
      <c r="P266" t="b">
        <v>0</v>
      </c>
      <c r="R266" t="str">
        <f>"9781783193462"</f>
        <v>9781783193462</v>
      </c>
      <c r="S266" t="str">
        <f>"9781783197194"</f>
        <v>9781783197194</v>
      </c>
      <c r="T266">
        <v>953844265</v>
      </c>
    </row>
    <row r="267" spans="1:20" x14ac:dyDescent="0.25">
      <c r="A267">
        <v>1446187</v>
      </c>
      <c r="B267" t="s">
        <v>1409</v>
      </c>
      <c r="D267" t="s">
        <v>203</v>
      </c>
      <c r="E267" t="s">
        <v>1109</v>
      </c>
      <c r="F267">
        <v>2016</v>
      </c>
      <c r="G267" t="s">
        <v>1110</v>
      </c>
      <c r="H267" t="s">
        <v>1410</v>
      </c>
      <c r="I267" t="s">
        <v>1411</v>
      </c>
      <c r="J267" t="s">
        <v>26</v>
      </c>
      <c r="K267" t="s">
        <v>48</v>
      </c>
      <c r="L267" t="b">
        <v>1</v>
      </c>
      <c r="M267" t="s">
        <v>1412</v>
      </c>
      <c r="N267" t="str">
        <f>"616.8/9/0076"</f>
        <v>616.8/9/0076</v>
      </c>
      <c r="P267" t="b">
        <v>0</v>
      </c>
      <c r="R267" t="str">
        <f>"9781909726543"</f>
        <v>9781909726543</v>
      </c>
      <c r="S267" t="str">
        <f>"9781909726550"</f>
        <v>9781909726550</v>
      </c>
      <c r="T267">
        <v>983204401</v>
      </c>
    </row>
    <row r="268" spans="1:20" x14ac:dyDescent="0.25">
      <c r="A268">
        <v>1446186</v>
      </c>
      <c r="B268" t="s">
        <v>1413</v>
      </c>
      <c r="D268" t="s">
        <v>203</v>
      </c>
      <c r="E268" t="s">
        <v>1109</v>
      </c>
      <c r="F268">
        <v>2016</v>
      </c>
      <c r="G268" t="s">
        <v>1110</v>
      </c>
      <c r="H268" t="s">
        <v>1410</v>
      </c>
      <c r="I268" t="s">
        <v>1414</v>
      </c>
      <c r="J268" t="s">
        <v>26</v>
      </c>
      <c r="K268" t="s">
        <v>48</v>
      </c>
      <c r="L268" t="b">
        <v>1</v>
      </c>
      <c r="M268" t="s">
        <v>1415</v>
      </c>
      <c r="N268" t="str">
        <f>"616.89"</f>
        <v>616.89</v>
      </c>
      <c r="P268" t="b">
        <v>0</v>
      </c>
      <c r="R268" t="str">
        <f>"9781909726482"</f>
        <v>9781909726482</v>
      </c>
      <c r="S268" t="str">
        <f>"9781909726499"</f>
        <v>9781909726499</v>
      </c>
      <c r="T268">
        <v>959148536</v>
      </c>
    </row>
    <row r="269" spans="1:20" x14ac:dyDescent="0.25">
      <c r="A269">
        <v>1445971</v>
      </c>
      <c r="B269" t="s">
        <v>1416</v>
      </c>
      <c r="D269" t="s">
        <v>203</v>
      </c>
      <c r="E269" t="s">
        <v>508</v>
      </c>
      <c r="F269">
        <v>2016</v>
      </c>
      <c r="G269" t="s">
        <v>1417</v>
      </c>
      <c r="H269" t="s">
        <v>1418</v>
      </c>
      <c r="I269" t="s">
        <v>1419</v>
      </c>
      <c r="J269" t="s">
        <v>512</v>
      </c>
      <c r="K269" t="s">
        <v>48</v>
      </c>
      <c r="L269" t="b">
        <v>1</v>
      </c>
      <c r="M269" t="s">
        <v>1420</v>
      </c>
      <c r="N269" t="str">
        <f>"791.4309"</f>
        <v>791.4309</v>
      </c>
      <c r="P269" t="b">
        <v>0</v>
      </c>
      <c r="S269" t="str">
        <f>"9789972453168"</f>
        <v>9789972453168</v>
      </c>
      <c r="T269">
        <v>950466408</v>
      </c>
    </row>
    <row r="270" spans="1:20" x14ac:dyDescent="0.25">
      <c r="A270">
        <v>1445969</v>
      </c>
      <c r="B270" t="s">
        <v>1421</v>
      </c>
      <c r="D270" t="s">
        <v>203</v>
      </c>
      <c r="E270" t="s">
        <v>508</v>
      </c>
      <c r="F270">
        <v>2016</v>
      </c>
      <c r="G270" t="s">
        <v>1422</v>
      </c>
      <c r="H270" t="s">
        <v>1423</v>
      </c>
      <c r="I270" t="s">
        <v>1424</v>
      </c>
      <c r="J270" t="s">
        <v>512</v>
      </c>
      <c r="K270" t="s">
        <v>48</v>
      </c>
      <c r="L270" t="b">
        <v>1</v>
      </c>
      <c r="M270" t="s">
        <v>1425</v>
      </c>
      <c r="N270" t="str">
        <f>"174/.9384550985"</f>
        <v>174/.9384550985</v>
      </c>
      <c r="O270" t="s">
        <v>581</v>
      </c>
      <c r="P270" t="b">
        <v>0</v>
      </c>
      <c r="S270" t="str">
        <f>"9789972453342"</f>
        <v>9789972453342</v>
      </c>
      <c r="T270">
        <v>980875608</v>
      </c>
    </row>
    <row r="271" spans="1:20" x14ac:dyDescent="0.25">
      <c r="A271">
        <v>1445964</v>
      </c>
      <c r="B271" t="s">
        <v>1426</v>
      </c>
      <c r="C271" t="s">
        <v>1427</v>
      </c>
      <c r="D271" t="s">
        <v>203</v>
      </c>
      <c r="E271" t="s">
        <v>508</v>
      </c>
      <c r="F271">
        <v>2015</v>
      </c>
      <c r="G271" t="s">
        <v>1428</v>
      </c>
      <c r="H271" t="s">
        <v>1429</v>
      </c>
      <c r="I271" t="s">
        <v>1430</v>
      </c>
      <c r="J271" t="s">
        <v>512</v>
      </c>
      <c r="K271" t="s">
        <v>48</v>
      </c>
      <c r="L271" t="b">
        <v>1</v>
      </c>
      <c r="M271" t="s">
        <v>1431</v>
      </c>
      <c r="N271" t="str">
        <f>"658.800985"</f>
        <v>658.800985</v>
      </c>
      <c r="P271" t="b">
        <v>0</v>
      </c>
      <c r="S271" t="str">
        <f>"9789972453397"</f>
        <v>9789972453397</v>
      </c>
      <c r="T271">
        <v>950466394</v>
      </c>
    </row>
    <row r="272" spans="1:20" x14ac:dyDescent="0.25">
      <c r="A272">
        <v>1445916</v>
      </c>
      <c r="B272" t="s">
        <v>1432</v>
      </c>
      <c r="D272" t="s">
        <v>131</v>
      </c>
      <c r="E272" t="s">
        <v>669</v>
      </c>
      <c r="F272">
        <v>2016</v>
      </c>
      <c r="G272" t="s">
        <v>546</v>
      </c>
      <c r="H272" t="s">
        <v>1433</v>
      </c>
      <c r="I272" t="s">
        <v>1434</v>
      </c>
      <c r="J272" t="s">
        <v>26</v>
      </c>
      <c r="K272" t="s">
        <v>48</v>
      </c>
      <c r="L272" t="b">
        <v>1</v>
      </c>
      <c r="M272" t="s">
        <v>1435</v>
      </c>
      <c r="N272" t="str">
        <f>"822.3/3"</f>
        <v>822.3/3</v>
      </c>
      <c r="P272" t="b">
        <v>0</v>
      </c>
      <c r="R272" t="str">
        <f>"9781783198559"</f>
        <v>9781783198559</v>
      </c>
      <c r="S272" t="str">
        <f>"9781783198542"</f>
        <v>9781783198542</v>
      </c>
      <c r="T272">
        <v>957611665</v>
      </c>
    </row>
    <row r="273" spans="1:20" x14ac:dyDescent="0.25">
      <c r="A273">
        <v>1445592</v>
      </c>
      <c r="B273" t="s">
        <v>1436</v>
      </c>
      <c r="D273" t="s">
        <v>203</v>
      </c>
      <c r="E273" t="s">
        <v>508</v>
      </c>
      <c r="F273">
        <v>2016</v>
      </c>
      <c r="G273" t="s">
        <v>509</v>
      </c>
      <c r="H273" t="s">
        <v>515</v>
      </c>
      <c r="I273" t="s">
        <v>597</v>
      </c>
      <c r="J273" t="s">
        <v>512</v>
      </c>
      <c r="K273" t="s">
        <v>48</v>
      </c>
      <c r="L273" t="b">
        <v>1</v>
      </c>
      <c r="M273" t="s">
        <v>1437</v>
      </c>
      <c r="N273" t="str">
        <f>"401.41"</f>
        <v>401.41</v>
      </c>
      <c r="P273" t="b">
        <v>0</v>
      </c>
      <c r="S273" t="str">
        <f>"9789972453113"</f>
        <v>9789972453113</v>
      </c>
      <c r="T273">
        <v>958543303</v>
      </c>
    </row>
    <row r="274" spans="1:20" x14ac:dyDescent="0.25">
      <c r="A274">
        <v>1445464</v>
      </c>
      <c r="B274" t="s">
        <v>1438</v>
      </c>
      <c r="C274" t="s">
        <v>1439</v>
      </c>
      <c r="D274" t="s">
        <v>107</v>
      </c>
      <c r="E274" t="s">
        <v>108</v>
      </c>
      <c r="F274">
        <v>2016</v>
      </c>
      <c r="G274" t="s">
        <v>109</v>
      </c>
      <c r="H274" t="s">
        <v>1440</v>
      </c>
      <c r="I274" t="s">
        <v>1441</v>
      </c>
      <c r="J274" t="s">
        <v>26</v>
      </c>
      <c r="K274" t="s">
        <v>86</v>
      </c>
      <c r="L274" t="b">
        <v>1</v>
      </c>
      <c r="M274" t="s">
        <v>1442</v>
      </c>
      <c r="N274" t="str">
        <f>"554.1"</f>
        <v>554.1</v>
      </c>
      <c r="P274" t="b">
        <v>0</v>
      </c>
      <c r="Q274" t="b">
        <v>0</v>
      </c>
      <c r="R274" t="str">
        <f>"9781780460604"</f>
        <v>9781780460604</v>
      </c>
      <c r="S274" t="str">
        <f>"9781780465678"</f>
        <v>9781780465678</v>
      </c>
      <c r="T274">
        <v>966457917</v>
      </c>
    </row>
    <row r="275" spans="1:20" x14ac:dyDescent="0.25">
      <c r="A275">
        <v>1445015</v>
      </c>
      <c r="B275" t="s">
        <v>1443</v>
      </c>
      <c r="D275" t="s">
        <v>203</v>
      </c>
      <c r="E275" t="s">
        <v>508</v>
      </c>
      <c r="F275">
        <v>2016</v>
      </c>
      <c r="G275" t="s">
        <v>1444</v>
      </c>
      <c r="H275" t="s">
        <v>1445</v>
      </c>
      <c r="I275" t="s">
        <v>1446</v>
      </c>
      <c r="J275" t="s">
        <v>512</v>
      </c>
      <c r="K275" t="s">
        <v>48</v>
      </c>
      <c r="L275" t="b">
        <v>1</v>
      </c>
      <c r="M275" t="s">
        <v>1447</v>
      </c>
      <c r="N275" t="str">
        <f>"341"</f>
        <v>341</v>
      </c>
      <c r="P275" t="b">
        <v>0</v>
      </c>
      <c r="S275" t="str">
        <f>"9789972453137"</f>
        <v>9789972453137</v>
      </c>
      <c r="T275">
        <v>950462019</v>
      </c>
    </row>
    <row r="276" spans="1:20" x14ac:dyDescent="0.25">
      <c r="A276">
        <v>1445014</v>
      </c>
      <c r="B276" t="s">
        <v>1448</v>
      </c>
      <c r="D276" t="s">
        <v>203</v>
      </c>
      <c r="E276" t="s">
        <v>508</v>
      </c>
      <c r="F276">
        <v>2016</v>
      </c>
      <c r="G276" t="s">
        <v>1417</v>
      </c>
      <c r="H276" t="s">
        <v>1449</v>
      </c>
      <c r="I276" t="s">
        <v>1450</v>
      </c>
      <c r="J276" t="s">
        <v>512</v>
      </c>
      <c r="K276" t="s">
        <v>48</v>
      </c>
      <c r="L276" t="b">
        <v>1</v>
      </c>
      <c r="M276" t="s">
        <v>1451</v>
      </c>
      <c r="N276" t="str">
        <f>"791.430985"</f>
        <v>791.430985</v>
      </c>
      <c r="O276" t="s">
        <v>581</v>
      </c>
      <c r="P276" t="b">
        <v>0</v>
      </c>
      <c r="S276" t="str">
        <f>"9789972453151"</f>
        <v>9789972453151</v>
      </c>
      <c r="T276">
        <v>950462021</v>
      </c>
    </row>
    <row r="277" spans="1:20" x14ac:dyDescent="0.25">
      <c r="A277">
        <v>1444971</v>
      </c>
      <c r="B277" t="s">
        <v>1452</v>
      </c>
      <c r="C277" t="s">
        <v>1453</v>
      </c>
      <c r="D277" t="s">
        <v>203</v>
      </c>
      <c r="E277" t="s">
        <v>508</v>
      </c>
      <c r="F277">
        <v>2016</v>
      </c>
      <c r="G277" t="s">
        <v>1417</v>
      </c>
      <c r="H277" t="s">
        <v>1454</v>
      </c>
      <c r="I277" t="s">
        <v>1455</v>
      </c>
      <c r="J277" t="s">
        <v>512</v>
      </c>
      <c r="K277" t="s">
        <v>48</v>
      </c>
      <c r="L277" t="b">
        <v>1</v>
      </c>
      <c r="M277" t="s">
        <v>1456</v>
      </c>
      <c r="N277" t="str">
        <f>"791.430985"</f>
        <v>791.430985</v>
      </c>
      <c r="P277" t="b">
        <v>0</v>
      </c>
      <c r="S277" t="str">
        <f>"9789972453120"</f>
        <v>9789972453120</v>
      </c>
      <c r="T277">
        <v>958570571</v>
      </c>
    </row>
    <row r="278" spans="1:20" x14ac:dyDescent="0.25">
      <c r="A278">
        <v>1444742</v>
      </c>
      <c r="B278" t="s">
        <v>1457</v>
      </c>
      <c r="D278" t="s">
        <v>203</v>
      </c>
      <c r="E278" t="s">
        <v>1458</v>
      </c>
      <c r="F278">
        <v>2013</v>
      </c>
      <c r="G278" t="s">
        <v>1459</v>
      </c>
      <c r="H278" t="s">
        <v>1460</v>
      </c>
      <c r="I278" t="s">
        <v>1461</v>
      </c>
      <c r="J278" t="s">
        <v>512</v>
      </c>
      <c r="K278" t="s">
        <v>48</v>
      </c>
      <c r="L278" t="b">
        <v>1</v>
      </c>
      <c r="M278" t="s">
        <v>1462</v>
      </c>
      <c r="N278" t="str">
        <f>"621.4021"</f>
        <v>621.4021</v>
      </c>
      <c r="P278" t="b">
        <v>0</v>
      </c>
      <c r="S278" t="str">
        <f>"9788793429666"</f>
        <v>9788793429666</v>
      </c>
      <c r="T278">
        <v>950466064</v>
      </c>
    </row>
    <row r="279" spans="1:20" x14ac:dyDescent="0.25">
      <c r="A279">
        <v>1444741</v>
      </c>
      <c r="B279" t="s">
        <v>1463</v>
      </c>
      <c r="D279" t="s">
        <v>203</v>
      </c>
      <c r="E279" t="s">
        <v>1458</v>
      </c>
      <c r="F279">
        <v>2013</v>
      </c>
      <c r="G279" t="s">
        <v>1464</v>
      </c>
      <c r="H279" t="s">
        <v>1465</v>
      </c>
      <c r="I279" t="s">
        <v>1466</v>
      </c>
      <c r="J279" t="s">
        <v>512</v>
      </c>
      <c r="K279" t="s">
        <v>48</v>
      </c>
      <c r="L279" t="b">
        <v>1</v>
      </c>
      <c r="M279" t="s">
        <v>1467</v>
      </c>
      <c r="N279" t="str">
        <f>"005.73"</f>
        <v>005.73</v>
      </c>
      <c r="P279" t="b">
        <v>0</v>
      </c>
      <c r="S279" t="str">
        <f>"9789972251634"</f>
        <v>9789972251634</v>
      </c>
      <c r="T279">
        <v>950466063</v>
      </c>
    </row>
    <row r="280" spans="1:20" x14ac:dyDescent="0.25">
      <c r="A280">
        <v>1444739</v>
      </c>
      <c r="B280" t="s">
        <v>1468</v>
      </c>
      <c r="D280" t="s">
        <v>203</v>
      </c>
      <c r="E280" t="s">
        <v>1458</v>
      </c>
      <c r="F280">
        <v>2013</v>
      </c>
      <c r="G280" t="s">
        <v>1464</v>
      </c>
      <c r="H280" t="s">
        <v>1469</v>
      </c>
      <c r="I280" t="s">
        <v>1470</v>
      </c>
      <c r="J280" t="s">
        <v>512</v>
      </c>
      <c r="K280" t="s">
        <v>48</v>
      </c>
      <c r="L280" t="b">
        <v>1</v>
      </c>
      <c r="M280" t="s">
        <v>1471</v>
      </c>
      <c r="N280" t="str">
        <f>"005.1"</f>
        <v>005.1</v>
      </c>
      <c r="P280" t="b">
        <v>0</v>
      </c>
      <c r="S280" t="str">
        <f>"9789972251641"</f>
        <v>9789972251641</v>
      </c>
      <c r="T280">
        <v>950466061</v>
      </c>
    </row>
    <row r="281" spans="1:20" x14ac:dyDescent="0.25">
      <c r="A281">
        <v>1442899</v>
      </c>
      <c r="B281" t="s">
        <v>1472</v>
      </c>
      <c r="D281" t="s">
        <v>211</v>
      </c>
      <c r="E281" t="s">
        <v>212</v>
      </c>
      <c r="F281">
        <v>2016</v>
      </c>
      <c r="G281" t="s">
        <v>213</v>
      </c>
      <c r="H281" t="s">
        <v>1473</v>
      </c>
      <c r="I281" t="s">
        <v>1474</v>
      </c>
      <c r="J281" t="s">
        <v>26</v>
      </c>
      <c r="K281" t="s">
        <v>27</v>
      </c>
      <c r="L281" t="b">
        <v>1</v>
      </c>
      <c r="M281" t="s">
        <v>1475</v>
      </c>
      <c r="N281" t="str">
        <f>"070.50994"</f>
        <v>070.50994</v>
      </c>
      <c r="P281" t="b">
        <v>0</v>
      </c>
      <c r="Q281" t="b">
        <v>0</v>
      </c>
      <c r="S281" t="str">
        <f>"9781925495300"</f>
        <v>9781925495300</v>
      </c>
      <c r="T281">
        <v>967224662</v>
      </c>
    </row>
    <row r="282" spans="1:20" x14ac:dyDescent="0.25">
      <c r="A282">
        <v>1442898</v>
      </c>
      <c r="B282" t="s">
        <v>1476</v>
      </c>
      <c r="C282" t="s">
        <v>1477</v>
      </c>
      <c r="D282" t="s">
        <v>211</v>
      </c>
      <c r="E282" t="s">
        <v>212</v>
      </c>
      <c r="F282">
        <v>2017</v>
      </c>
      <c r="G282" t="s">
        <v>1478</v>
      </c>
      <c r="H282" t="s">
        <v>1479</v>
      </c>
      <c r="I282" t="s">
        <v>1480</v>
      </c>
      <c r="J282" t="s">
        <v>26</v>
      </c>
      <c r="K282" t="s">
        <v>27</v>
      </c>
      <c r="L282" t="b">
        <v>1</v>
      </c>
      <c r="M282" t="s">
        <v>1481</v>
      </c>
      <c r="N282" t="str">
        <f>"294.5211"</f>
        <v>294.5211</v>
      </c>
      <c r="P282" t="b">
        <v>0</v>
      </c>
      <c r="Q282" t="b">
        <v>0</v>
      </c>
      <c r="S282" t="str">
        <f>"9781925377316"</f>
        <v>9781925377316</v>
      </c>
      <c r="T282">
        <v>967226506</v>
      </c>
    </row>
    <row r="283" spans="1:20" x14ac:dyDescent="0.25">
      <c r="A283">
        <v>1442490</v>
      </c>
      <c r="B283" t="s">
        <v>1482</v>
      </c>
      <c r="D283" t="s">
        <v>22</v>
      </c>
      <c r="E283" t="s">
        <v>22</v>
      </c>
      <c r="F283">
        <v>2017</v>
      </c>
      <c r="G283" t="s">
        <v>57</v>
      </c>
      <c r="H283" t="s">
        <v>1483</v>
      </c>
      <c r="J283" t="s">
        <v>26</v>
      </c>
      <c r="K283" t="s">
        <v>27</v>
      </c>
      <c r="L283" t="b">
        <v>1</v>
      </c>
      <c r="M283" t="s">
        <v>1484</v>
      </c>
      <c r="N283" t="str">
        <f>"951"</f>
        <v>951</v>
      </c>
      <c r="O283" t="s">
        <v>1485</v>
      </c>
      <c r="P283" t="b">
        <v>0</v>
      </c>
      <c r="Q283" t="b">
        <v>0</v>
      </c>
      <c r="R283" t="str">
        <f>"9789462982581"</f>
        <v>9789462982581</v>
      </c>
      <c r="S283" t="str">
        <f>"9789048532629"</f>
        <v>9789048532629</v>
      </c>
      <c r="T283">
        <v>966641389</v>
      </c>
    </row>
    <row r="284" spans="1:20" x14ac:dyDescent="0.25">
      <c r="A284">
        <v>1442489</v>
      </c>
      <c r="B284" t="s">
        <v>1486</v>
      </c>
      <c r="D284" t="s">
        <v>22</v>
      </c>
      <c r="E284" t="s">
        <v>22</v>
      </c>
      <c r="F284">
        <v>2016</v>
      </c>
      <c r="G284" t="s">
        <v>57</v>
      </c>
      <c r="H284" t="s">
        <v>1487</v>
      </c>
      <c r="I284" t="s">
        <v>1488</v>
      </c>
      <c r="J284" t="s">
        <v>26</v>
      </c>
      <c r="K284" t="s">
        <v>27</v>
      </c>
      <c r="L284" t="b">
        <v>1</v>
      </c>
      <c r="M284" t="s">
        <v>1489</v>
      </c>
      <c r="N284" t="str">
        <f>"179.3"</f>
        <v>179.3</v>
      </c>
      <c r="O284" t="s">
        <v>191</v>
      </c>
      <c r="P284" t="b">
        <v>0</v>
      </c>
      <c r="Q284" t="b">
        <v>0</v>
      </c>
      <c r="R284" t="str">
        <f>"9789089648495"</f>
        <v>9789089648495</v>
      </c>
      <c r="S284" t="str">
        <f>"9789048527038"</f>
        <v>9789048527038</v>
      </c>
      <c r="T284">
        <v>966641373</v>
      </c>
    </row>
    <row r="285" spans="1:20" x14ac:dyDescent="0.25">
      <c r="A285">
        <v>1442488</v>
      </c>
      <c r="B285" t="s">
        <v>1490</v>
      </c>
      <c r="D285" t="s">
        <v>22</v>
      </c>
      <c r="E285" t="s">
        <v>22</v>
      </c>
      <c r="F285">
        <v>2016</v>
      </c>
      <c r="G285" t="s">
        <v>57</v>
      </c>
      <c r="H285" t="s">
        <v>1491</v>
      </c>
      <c r="I285" t="s">
        <v>1492</v>
      </c>
      <c r="J285" t="s">
        <v>26</v>
      </c>
      <c r="K285" t="s">
        <v>27</v>
      </c>
      <c r="L285" t="b">
        <v>1</v>
      </c>
      <c r="M285" t="s">
        <v>1493</v>
      </c>
      <c r="N285" t="str">
        <f>"190"</f>
        <v>190</v>
      </c>
      <c r="O285" t="s">
        <v>1494</v>
      </c>
      <c r="P285" t="b">
        <v>0</v>
      </c>
      <c r="Q285" t="b">
        <v>0</v>
      </c>
      <c r="R285" t="str">
        <f>"9789462982147"</f>
        <v>9789462982147</v>
      </c>
      <c r="S285" t="str">
        <f>"9789048532063"</f>
        <v>9789048532063</v>
      </c>
      <c r="T285">
        <v>966641374</v>
      </c>
    </row>
    <row r="286" spans="1:20" x14ac:dyDescent="0.25">
      <c r="A286">
        <v>1442052</v>
      </c>
      <c r="B286" t="s">
        <v>1495</v>
      </c>
      <c r="D286" t="s">
        <v>487</v>
      </c>
      <c r="E286" t="s">
        <v>488</v>
      </c>
      <c r="F286">
        <v>2017</v>
      </c>
      <c r="G286" t="s">
        <v>1496</v>
      </c>
      <c r="H286" t="s">
        <v>1497</v>
      </c>
      <c r="I286" t="s">
        <v>1498</v>
      </c>
      <c r="J286" t="s">
        <v>26</v>
      </c>
      <c r="K286" t="s">
        <v>27</v>
      </c>
      <c r="L286" t="b">
        <v>1</v>
      </c>
      <c r="M286" t="s">
        <v>1499</v>
      </c>
      <c r="N286" t="str">
        <f>"398.24"</f>
        <v>398.24</v>
      </c>
      <c r="O286" t="s">
        <v>498</v>
      </c>
      <c r="P286" t="b">
        <v>0</v>
      </c>
      <c r="Q286" t="b">
        <v>0</v>
      </c>
      <c r="R286" t="str">
        <f>"9781781886069"</f>
        <v>9781781886069</v>
      </c>
      <c r="S286" t="str">
        <f>"9781781886199"</f>
        <v>9781781886199</v>
      </c>
      <c r="T286">
        <v>967984130</v>
      </c>
    </row>
    <row r="287" spans="1:20" x14ac:dyDescent="0.25">
      <c r="A287">
        <v>1441451</v>
      </c>
      <c r="B287" t="s">
        <v>1500</v>
      </c>
      <c r="C287" t="s">
        <v>1501</v>
      </c>
      <c r="D287" t="s">
        <v>70</v>
      </c>
      <c r="E287" t="s">
        <v>71</v>
      </c>
      <c r="F287">
        <v>2015</v>
      </c>
      <c r="G287" t="s">
        <v>63</v>
      </c>
      <c r="H287" t="s">
        <v>1502</v>
      </c>
      <c r="I287" t="s">
        <v>1503</v>
      </c>
      <c r="J287" t="s">
        <v>26</v>
      </c>
      <c r="K287" t="s">
        <v>27</v>
      </c>
      <c r="L287" t="b">
        <v>1</v>
      </c>
      <c r="M287" t="s">
        <v>1504</v>
      </c>
      <c r="N287" t="str">
        <f>"791.450941"</f>
        <v>791.450941</v>
      </c>
      <c r="P287" t="b">
        <v>0</v>
      </c>
      <c r="R287" t="str">
        <f>"9781844576234"</f>
        <v>9781844576234</v>
      </c>
      <c r="S287" t="str">
        <f>"9781844578962"</f>
        <v>9781844578962</v>
      </c>
      <c r="T287">
        <v>953861099</v>
      </c>
    </row>
    <row r="288" spans="1:20" x14ac:dyDescent="0.25">
      <c r="A288">
        <v>1438344</v>
      </c>
      <c r="B288" t="s">
        <v>1505</v>
      </c>
      <c r="C288" t="s">
        <v>1506</v>
      </c>
      <c r="D288" t="s">
        <v>1364</v>
      </c>
      <c r="E288" t="s">
        <v>1507</v>
      </c>
      <c r="F288">
        <v>2017</v>
      </c>
      <c r="G288" t="s">
        <v>1508</v>
      </c>
      <c r="H288" t="s">
        <v>1509</v>
      </c>
      <c r="I288" t="s">
        <v>1510</v>
      </c>
      <c r="J288" t="s">
        <v>26</v>
      </c>
      <c r="K288" t="s">
        <v>86</v>
      </c>
      <c r="L288" t="b">
        <v>1</v>
      </c>
      <c r="M288" t="s">
        <v>1511</v>
      </c>
      <c r="N288" t="str">
        <f>"026"</f>
        <v>026</v>
      </c>
      <c r="O288" t="s">
        <v>1512</v>
      </c>
      <c r="P288" t="b">
        <v>0</v>
      </c>
      <c r="R288" t="str">
        <f>"9783110462968"</f>
        <v>9783110462968</v>
      </c>
      <c r="S288" t="str">
        <f>"9783110463088"</f>
        <v>9783110463088</v>
      </c>
      <c r="T288">
        <v>972234690</v>
      </c>
    </row>
    <row r="289" spans="1:20" x14ac:dyDescent="0.25">
      <c r="A289">
        <v>1436464</v>
      </c>
      <c r="B289" t="s">
        <v>1513</v>
      </c>
      <c r="C289" t="s">
        <v>1514</v>
      </c>
      <c r="D289" t="s">
        <v>1515</v>
      </c>
      <c r="E289" t="s">
        <v>1516</v>
      </c>
      <c r="F289">
        <v>2016</v>
      </c>
      <c r="G289" t="s">
        <v>322</v>
      </c>
      <c r="H289" t="s">
        <v>1517</v>
      </c>
      <c r="I289" t="s">
        <v>1518</v>
      </c>
      <c r="J289" t="s">
        <v>26</v>
      </c>
      <c r="K289" t="s">
        <v>48</v>
      </c>
      <c r="L289" t="b">
        <v>1</v>
      </c>
      <c r="M289" t="s">
        <v>1519</v>
      </c>
      <c r="N289" t="str">
        <f>"658.8/72028546"</f>
        <v>658.8/72028546</v>
      </c>
      <c r="P289" t="b">
        <v>0</v>
      </c>
      <c r="S289" t="str">
        <f>"9783736886346"</f>
        <v>9783736886346</v>
      </c>
      <c r="T289">
        <v>967091340</v>
      </c>
    </row>
    <row r="290" spans="1:20" x14ac:dyDescent="0.25">
      <c r="A290">
        <v>1431389</v>
      </c>
      <c r="B290" t="s">
        <v>1520</v>
      </c>
      <c r="C290" t="s">
        <v>1521</v>
      </c>
      <c r="D290" t="s">
        <v>82</v>
      </c>
      <c r="E290" t="s">
        <v>82</v>
      </c>
      <c r="F290">
        <v>2013</v>
      </c>
      <c r="G290" t="s">
        <v>1522</v>
      </c>
      <c r="J290" t="s">
        <v>26</v>
      </c>
      <c r="K290" t="s">
        <v>86</v>
      </c>
      <c r="L290" t="b">
        <v>1</v>
      </c>
      <c r="M290" t="s">
        <v>1523</v>
      </c>
      <c r="O290" t="s">
        <v>1524</v>
      </c>
      <c r="P290" t="b">
        <v>0</v>
      </c>
      <c r="S290" t="str">
        <f>"9780776620855"</f>
        <v>9780776620855</v>
      </c>
    </row>
    <row r="291" spans="1:20" x14ac:dyDescent="0.25">
      <c r="A291">
        <v>1430765</v>
      </c>
      <c r="B291" t="s">
        <v>1525</v>
      </c>
      <c r="D291" t="s">
        <v>1526</v>
      </c>
      <c r="E291" t="s">
        <v>1526</v>
      </c>
      <c r="F291">
        <v>2016</v>
      </c>
      <c r="G291" t="s">
        <v>1527</v>
      </c>
      <c r="H291" t="s">
        <v>1528</v>
      </c>
      <c r="I291" t="s">
        <v>1529</v>
      </c>
      <c r="J291" t="s">
        <v>26</v>
      </c>
      <c r="K291" t="s">
        <v>86</v>
      </c>
      <c r="L291" t="b">
        <v>1</v>
      </c>
      <c r="M291" t="s">
        <v>1530</v>
      </c>
      <c r="N291" t="str">
        <f>"005.75/65/076"</f>
        <v>005.75/65/076</v>
      </c>
      <c r="P291" t="b">
        <v>0</v>
      </c>
      <c r="R291" t="str">
        <f>"9781787126602"</f>
        <v>9781787126602</v>
      </c>
      <c r="S291" t="str">
        <f>"9781787127869"</f>
        <v>9781787127869</v>
      </c>
      <c r="T291">
        <v>968205774</v>
      </c>
    </row>
    <row r="292" spans="1:20" x14ac:dyDescent="0.25">
      <c r="A292">
        <v>1426720</v>
      </c>
      <c r="B292" t="s">
        <v>1531</v>
      </c>
      <c r="C292" t="s">
        <v>1532</v>
      </c>
      <c r="D292" t="s">
        <v>1533</v>
      </c>
      <c r="E292" t="s">
        <v>1534</v>
      </c>
      <c r="F292">
        <v>2016</v>
      </c>
      <c r="G292" t="s">
        <v>1535</v>
      </c>
      <c r="H292" t="s">
        <v>1536</v>
      </c>
      <c r="I292" t="s">
        <v>1537</v>
      </c>
      <c r="J292" t="s">
        <v>26</v>
      </c>
      <c r="K292" t="s">
        <v>27</v>
      </c>
      <c r="L292" t="b">
        <v>1</v>
      </c>
      <c r="M292" t="s">
        <v>1538</v>
      </c>
      <c r="N292" t="str">
        <f>"328.468001/41"</f>
        <v>328.468001/41</v>
      </c>
      <c r="O292" t="s">
        <v>1539</v>
      </c>
      <c r="P292" t="b">
        <v>0</v>
      </c>
      <c r="R292" t="str">
        <f>"9789027206596"</f>
        <v>9789027206596</v>
      </c>
      <c r="S292" t="str">
        <f>"9789027266330"</f>
        <v>9789027266330</v>
      </c>
      <c r="T292">
        <v>962409771</v>
      </c>
    </row>
    <row r="293" spans="1:20" x14ac:dyDescent="0.25">
      <c r="A293">
        <v>1423601</v>
      </c>
      <c r="B293" t="s">
        <v>1540</v>
      </c>
      <c r="C293" t="s">
        <v>1541</v>
      </c>
      <c r="D293" t="s">
        <v>1542</v>
      </c>
      <c r="E293" t="s">
        <v>1543</v>
      </c>
      <c r="F293">
        <v>2016</v>
      </c>
      <c r="G293" t="s">
        <v>1544</v>
      </c>
      <c r="H293" t="s">
        <v>1545</v>
      </c>
      <c r="I293" t="s">
        <v>1546</v>
      </c>
      <c r="J293" t="s">
        <v>26</v>
      </c>
      <c r="K293" t="s">
        <v>86</v>
      </c>
      <c r="L293" t="b">
        <v>1</v>
      </c>
      <c r="M293" t="s">
        <v>1547</v>
      </c>
      <c r="N293" t="str">
        <f>"337"</f>
        <v>337</v>
      </c>
      <c r="P293" t="b">
        <v>0</v>
      </c>
      <c r="Q293" t="b">
        <v>0</v>
      </c>
      <c r="R293" t="str">
        <f>"9781786351586"</f>
        <v>9781786351586</v>
      </c>
      <c r="S293" t="str">
        <f>"9781786351579"</f>
        <v>9781786351579</v>
      </c>
      <c r="T293">
        <v>967186701</v>
      </c>
    </row>
    <row r="294" spans="1:20" x14ac:dyDescent="0.25">
      <c r="A294">
        <v>1423104</v>
      </c>
      <c r="B294" t="s">
        <v>1548</v>
      </c>
      <c r="C294" t="s">
        <v>1549</v>
      </c>
      <c r="D294" t="s">
        <v>211</v>
      </c>
      <c r="E294" t="s">
        <v>212</v>
      </c>
      <c r="F294">
        <v>2016</v>
      </c>
      <c r="G294" t="s">
        <v>1550</v>
      </c>
      <c r="H294" t="s">
        <v>1551</v>
      </c>
      <c r="I294" t="s">
        <v>1552</v>
      </c>
      <c r="J294" t="s">
        <v>26</v>
      </c>
      <c r="K294" t="s">
        <v>27</v>
      </c>
      <c r="L294" t="b">
        <v>1</v>
      </c>
      <c r="M294" t="s">
        <v>1553</v>
      </c>
      <c r="N294" t="str">
        <f>"378.00899915"</f>
        <v>378.00899915</v>
      </c>
      <c r="P294" t="b">
        <v>0</v>
      </c>
      <c r="Q294" t="b">
        <v>0</v>
      </c>
      <c r="S294" t="str">
        <f>"9781925377255"</f>
        <v>9781925377255</v>
      </c>
      <c r="T294">
        <v>963937101</v>
      </c>
    </row>
    <row r="295" spans="1:20" x14ac:dyDescent="0.25">
      <c r="A295">
        <v>1415337</v>
      </c>
      <c r="B295" t="s">
        <v>1554</v>
      </c>
      <c r="C295" t="s">
        <v>1555</v>
      </c>
      <c r="D295" t="s">
        <v>107</v>
      </c>
      <c r="E295" t="s">
        <v>108</v>
      </c>
      <c r="F295">
        <v>2017</v>
      </c>
      <c r="G295" t="s">
        <v>57</v>
      </c>
      <c r="H295" t="s">
        <v>1556</v>
      </c>
      <c r="I295" t="s">
        <v>1557</v>
      </c>
      <c r="J295" t="s">
        <v>26</v>
      </c>
      <c r="K295" t="s">
        <v>86</v>
      </c>
      <c r="L295" t="b">
        <v>1</v>
      </c>
      <c r="M295" t="s">
        <v>1558</v>
      </c>
      <c r="N295" t="str">
        <f>"363.1/02"</f>
        <v>363.1/02</v>
      </c>
      <c r="O295" t="s">
        <v>808</v>
      </c>
      <c r="P295" t="b">
        <v>0</v>
      </c>
      <c r="Q295" t="b">
        <v>0</v>
      </c>
      <c r="R295" t="str">
        <f>"9781780460635"</f>
        <v>9781780460635</v>
      </c>
      <c r="S295" t="str">
        <f>"9781780465616"</f>
        <v>9781780465616</v>
      </c>
      <c r="T295">
        <v>964383562</v>
      </c>
    </row>
    <row r="296" spans="1:20" x14ac:dyDescent="0.25">
      <c r="A296">
        <v>1415336</v>
      </c>
      <c r="B296" t="s">
        <v>1559</v>
      </c>
      <c r="C296" t="s">
        <v>1560</v>
      </c>
      <c r="D296" t="s">
        <v>107</v>
      </c>
      <c r="E296" t="s">
        <v>108</v>
      </c>
      <c r="F296">
        <v>2016</v>
      </c>
      <c r="G296" t="s">
        <v>1561</v>
      </c>
      <c r="H296" t="s">
        <v>1562</v>
      </c>
      <c r="I296" t="s">
        <v>1563</v>
      </c>
      <c r="J296" t="s">
        <v>26</v>
      </c>
      <c r="K296" t="s">
        <v>86</v>
      </c>
      <c r="L296" t="b">
        <v>1</v>
      </c>
      <c r="M296" t="s">
        <v>1564</v>
      </c>
      <c r="N296" t="str">
        <f>"304.8"</f>
        <v>304.8</v>
      </c>
      <c r="O296" t="s">
        <v>1565</v>
      </c>
      <c r="P296" t="b">
        <v>0</v>
      </c>
      <c r="Q296" t="b">
        <v>0</v>
      </c>
      <c r="R296" t="str">
        <f>"9781780460499"</f>
        <v>9781780460499</v>
      </c>
      <c r="S296" t="str">
        <f>"9781780465654"</f>
        <v>9781780465654</v>
      </c>
      <c r="T296">
        <v>966542326</v>
      </c>
    </row>
    <row r="297" spans="1:20" x14ac:dyDescent="0.25">
      <c r="A297">
        <v>1414783</v>
      </c>
      <c r="B297" t="s">
        <v>1566</v>
      </c>
      <c r="D297" t="s">
        <v>131</v>
      </c>
      <c r="E297" t="s">
        <v>669</v>
      </c>
      <c r="F297">
        <v>2005</v>
      </c>
      <c r="G297" t="s">
        <v>1130</v>
      </c>
      <c r="H297" t="s">
        <v>1567</v>
      </c>
      <c r="I297" t="s">
        <v>1568</v>
      </c>
      <c r="J297" t="s">
        <v>26</v>
      </c>
      <c r="K297" t="s">
        <v>48</v>
      </c>
      <c r="L297" t="b">
        <v>1</v>
      </c>
      <c r="M297" t="s">
        <v>1569</v>
      </c>
      <c r="N297" t="str">
        <f>"822.9/2"</f>
        <v>822.9/2</v>
      </c>
      <c r="O297" t="s">
        <v>912</v>
      </c>
      <c r="P297" t="b">
        <v>1</v>
      </c>
      <c r="R297" t="str">
        <f>"9781840024715"</f>
        <v>9781840024715</v>
      </c>
      <c r="S297" t="str">
        <f>"9781849432931"</f>
        <v>9781849432931</v>
      </c>
      <c r="T297">
        <v>607579814</v>
      </c>
    </row>
    <row r="298" spans="1:20" x14ac:dyDescent="0.25">
      <c r="A298">
        <v>1414779</v>
      </c>
      <c r="B298" t="s">
        <v>1570</v>
      </c>
      <c r="D298" t="s">
        <v>131</v>
      </c>
      <c r="E298" t="s">
        <v>669</v>
      </c>
      <c r="F298">
        <v>2013</v>
      </c>
      <c r="G298" t="s">
        <v>1130</v>
      </c>
      <c r="H298" t="s">
        <v>1571</v>
      </c>
      <c r="I298" t="s">
        <v>1572</v>
      </c>
      <c r="J298" t="s">
        <v>26</v>
      </c>
      <c r="K298" t="s">
        <v>48</v>
      </c>
      <c r="L298" t="b">
        <v>1</v>
      </c>
      <c r="M298" t="s">
        <v>1573</v>
      </c>
      <c r="N298" t="str">
        <f>"822.3"</f>
        <v>822.3</v>
      </c>
      <c r="P298" t="b">
        <v>1</v>
      </c>
      <c r="R298" t="str">
        <f>"9781783190195"</f>
        <v>9781783190195</v>
      </c>
      <c r="S298" t="str">
        <f>"9781783195183"</f>
        <v>9781783195183</v>
      </c>
      <c r="T298">
        <v>870600844</v>
      </c>
    </row>
    <row r="299" spans="1:20" x14ac:dyDescent="0.25">
      <c r="A299">
        <v>1414777</v>
      </c>
      <c r="B299" t="s">
        <v>1574</v>
      </c>
      <c r="C299" t="s">
        <v>1575</v>
      </c>
      <c r="D299" t="s">
        <v>131</v>
      </c>
      <c r="E299" t="s">
        <v>669</v>
      </c>
      <c r="F299">
        <v>2016</v>
      </c>
      <c r="G299" t="s">
        <v>1130</v>
      </c>
      <c r="H299" t="s">
        <v>1576</v>
      </c>
      <c r="J299" t="s">
        <v>26</v>
      </c>
      <c r="K299" t="s">
        <v>48</v>
      </c>
      <c r="L299" t="b">
        <v>1</v>
      </c>
      <c r="M299" t="s">
        <v>1577</v>
      </c>
      <c r="N299" t="str">
        <f>"822.92"</f>
        <v>822.92</v>
      </c>
      <c r="P299" t="b">
        <v>1</v>
      </c>
      <c r="R299" t="str">
        <f>"9781849434898"</f>
        <v>9781849434898</v>
      </c>
      <c r="S299" t="str">
        <f>"9781849437615"</f>
        <v>9781849437615</v>
      </c>
      <c r="T299">
        <v>958945984</v>
      </c>
    </row>
    <row r="300" spans="1:20" x14ac:dyDescent="0.25">
      <c r="A300">
        <v>1412900</v>
      </c>
      <c r="B300" t="s">
        <v>1578</v>
      </c>
      <c r="C300" t="s">
        <v>1579</v>
      </c>
      <c r="D300" t="s">
        <v>211</v>
      </c>
      <c r="E300" t="s">
        <v>212</v>
      </c>
      <c r="F300">
        <v>2016</v>
      </c>
      <c r="G300" t="s">
        <v>1026</v>
      </c>
      <c r="H300" t="s">
        <v>1580</v>
      </c>
      <c r="I300" t="s">
        <v>1581</v>
      </c>
      <c r="J300" t="s">
        <v>26</v>
      </c>
      <c r="K300" t="s">
        <v>27</v>
      </c>
      <c r="L300" t="b">
        <v>1</v>
      </c>
      <c r="M300" t="s">
        <v>1582</v>
      </c>
      <c r="N300" t="str">
        <f>"820.80944"</f>
        <v>820.80944</v>
      </c>
      <c r="O300" t="s">
        <v>1583</v>
      </c>
      <c r="P300" t="b">
        <v>0</v>
      </c>
      <c r="Q300" t="b">
        <v>0</v>
      </c>
      <c r="S300" t="str">
        <f>"9781925495072"</f>
        <v>9781925495072</v>
      </c>
      <c r="T300">
        <v>961450999</v>
      </c>
    </row>
    <row r="301" spans="1:20" x14ac:dyDescent="0.25">
      <c r="A301">
        <v>1412899</v>
      </c>
      <c r="B301" t="s">
        <v>1584</v>
      </c>
      <c r="C301" t="s">
        <v>1585</v>
      </c>
      <c r="D301" t="s">
        <v>211</v>
      </c>
      <c r="E301" t="s">
        <v>212</v>
      </c>
      <c r="F301">
        <v>2016</v>
      </c>
      <c r="G301" t="s">
        <v>1586</v>
      </c>
      <c r="H301" t="s">
        <v>1587</v>
      </c>
      <c r="I301" t="s">
        <v>1588</v>
      </c>
      <c r="J301" t="s">
        <v>26</v>
      </c>
      <c r="K301" t="s">
        <v>27</v>
      </c>
      <c r="L301" t="b">
        <v>1</v>
      </c>
      <c r="M301" t="s">
        <v>1589</v>
      </c>
      <c r="N301" t="str">
        <f>"324.294"</f>
        <v>324.294</v>
      </c>
      <c r="P301" t="b">
        <v>0</v>
      </c>
      <c r="Q301" t="b">
        <v>0</v>
      </c>
      <c r="T301">
        <v>968794573</v>
      </c>
    </row>
    <row r="302" spans="1:20" x14ac:dyDescent="0.25">
      <c r="A302">
        <v>1412898</v>
      </c>
      <c r="B302" t="s">
        <v>1590</v>
      </c>
      <c r="D302" t="s">
        <v>211</v>
      </c>
      <c r="E302" t="s">
        <v>212</v>
      </c>
      <c r="F302">
        <v>2016</v>
      </c>
      <c r="G302" t="s">
        <v>1591</v>
      </c>
      <c r="H302" t="s">
        <v>1592</v>
      </c>
      <c r="I302" t="s">
        <v>1593</v>
      </c>
      <c r="J302" t="s">
        <v>26</v>
      </c>
      <c r="K302" t="s">
        <v>27</v>
      </c>
      <c r="L302" t="b">
        <v>1</v>
      </c>
      <c r="M302" t="s">
        <v>1594</v>
      </c>
      <c r="N302" t="str">
        <f>"305.4209581"</f>
        <v>305.4209581</v>
      </c>
      <c r="P302" t="b">
        <v>0</v>
      </c>
      <c r="Q302" t="b">
        <v>0</v>
      </c>
      <c r="S302" t="str">
        <f>"9781925377033"</f>
        <v>9781925377033</v>
      </c>
      <c r="T302">
        <v>968794648</v>
      </c>
    </row>
    <row r="303" spans="1:20" x14ac:dyDescent="0.25">
      <c r="A303">
        <v>1412897</v>
      </c>
      <c r="B303" t="s">
        <v>1595</v>
      </c>
      <c r="D303" t="s">
        <v>211</v>
      </c>
      <c r="E303" t="s">
        <v>212</v>
      </c>
      <c r="F303">
        <v>2016</v>
      </c>
      <c r="G303" t="s">
        <v>1596</v>
      </c>
      <c r="H303" t="s">
        <v>1597</v>
      </c>
      <c r="I303" t="s">
        <v>1598</v>
      </c>
      <c r="J303" t="s">
        <v>26</v>
      </c>
      <c r="K303" t="s">
        <v>27</v>
      </c>
      <c r="L303" t="b">
        <v>1</v>
      </c>
      <c r="M303" t="s">
        <v>1599</v>
      </c>
      <c r="N303" t="str">
        <f>"210.1"</f>
        <v>210.1</v>
      </c>
      <c r="P303" t="b">
        <v>0</v>
      </c>
      <c r="Q303" t="b">
        <v>0</v>
      </c>
      <c r="T303">
        <v>968794528</v>
      </c>
    </row>
    <row r="304" spans="1:20" x14ac:dyDescent="0.25">
      <c r="A304">
        <v>1408242</v>
      </c>
      <c r="B304" t="s">
        <v>1600</v>
      </c>
      <c r="C304" t="s">
        <v>1601</v>
      </c>
      <c r="D304" t="s">
        <v>203</v>
      </c>
      <c r="E304" t="s">
        <v>637</v>
      </c>
      <c r="F304">
        <v>2016</v>
      </c>
      <c r="G304" t="s">
        <v>645</v>
      </c>
      <c r="H304" t="s">
        <v>1602</v>
      </c>
      <c r="I304" t="s">
        <v>1603</v>
      </c>
      <c r="J304" t="s">
        <v>26</v>
      </c>
      <c r="K304" t="s">
        <v>48</v>
      </c>
      <c r="L304" t="b">
        <v>1</v>
      </c>
      <c r="M304" t="s">
        <v>1604</v>
      </c>
      <c r="N304" t="str">
        <f>"941.50821"</f>
        <v>941.50821</v>
      </c>
      <c r="P304" t="b">
        <v>0</v>
      </c>
      <c r="R304" t="str">
        <f>"9781781173855"</f>
        <v>9781781173855</v>
      </c>
      <c r="S304" t="str">
        <f>"9781781173862"</f>
        <v>9781781173862</v>
      </c>
      <c r="T304">
        <v>946008435</v>
      </c>
    </row>
    <row r="305" spans="1:20" x14ac:dyDescent="0.25">
      <c r="A305">
        <v>1407924</v>
      </c>
      <c r="B305" t="s">
        <v>1605</v>
      </c>
      <c r="D305" t="s">
        <v>203</v>
      </c>
      <c r="E305" t="s">
        <v>1606</v>
      </c>
      <c r="F305">
        <v>2010</v>
      </c>
      <c r="G305" t="s">
        <v>1607</v>
      </c>
      <c r="H305" t="s">
        <v>1608</v>
      </c>
      <c r="I305" t="s">
        <v>1609</v>
      </c>
      <c r="J305" t="s">
        <v>26</v>
      </c>
      <c r="K305" t="s">
        <v>48</v>
      </c>
      <c r="L305" t="b">
        <v>1</v>
      </c>
      <c r="M305" t="s">
        <v>1610</v>
      </c>
      <c r="N305" t="str">
        <f>"158.9"</f>
        <v>158.9</v>
      </c>
      <c r="P305" t="b">
        <v>0</v>
      </c>
      <c r="R305" t="str">
        <f>"9781905823789"</f>
        <v>9781905823789</v>
      </c>
      <c r="S305" t="str">
        <f>"9781908746245"</f>
        <v>9781908746245</v>
      </c>
      <c r="T305">
        <v>946606515</v>
      </c>
    </row>
    <row r="306" spans="1:20" x14ac:dyDescent="0.25">
      <c r="A306">
        <v>1407789</v>
      </c>
      <c r="B306" t="s">
        <v>1611</v>
      </c>
      <c r="C306" t="s">
        <v>1612</v>
      </c>
      <c r="D306" t="s">
        <v>644</v>
      </c>
      <c r="E306" t="s">
        <v>637</v>
      </c>
      <c r="F306">
        <v>2016</v>
      </c>
      <c r="G306" t="s">
        <v>645</v>
      </c>
      <c r="H306" t="s">
        <v>1613</v>
      </c>
      <c r="J306" t="s">
        <v>26</v>
      </c>
      <c r="K306" t="s">
        <v>48</v>
      </c>
      <c r="L306" t="b">
        <v>1</v>
      </c>
      <c r="M306" t="s">
        <v>1614</v>
      </c>
      <c r="N306" t="str">
        <f>"941.5082/1"</f>
        <v>941.5082/1</v>
      </c>
      <c r="P306" t="b">
        <v>0</v>
      </c>
      <c r="R306" t="str">
        <f>"9781781174036"</f>
        <v>9781781174036</v>
      </c>
      <c r="S306" t="str">
        <f>"9781781174043"</f>
        <v>9781781174043</v>
      </c>
      <c r="T306">
        <v>969062843</v>
      </c>
    </row>
    <row r="307" spans="1:20" x14ac:dyDescent="0.25">
      <c r="A307">
        <v>1403403</v>
      </c>
      <c r="B307" t="s">
        <v>1615</v>
      </c>
      <c r="D307" t="s">
        <v>22</v>
      </c>
      <c r="E307" t="s">
        <v>22</v>
      </c>
      <c r="F307">
        <v>2016</v>
      </c>
      <c r="G307" t="s">
        <v>57</v>
      </c>
      <c r="H307" t="s">
        <v>1616</v>
      </c>
      <c r="I307" t="s">
        <v>1617</v>
      </c>
      <c r="J307" t="s">
        <v>26</v>
      </c>
      <c r="K307" t="s">
        <v>27</v>
      </c>
      <c r="L307" t="b">
        <v>1</v>
      </c>
      <c r="M307" t="s">
        <v>1618</v>
      </c>
      <c r="N307" t="str">
        <f>"331.13730973"</f>
        <v>331.13730973</v>
      </c>
      <c r="O307" t="s">
        <v>1619</v>
      </c>
      <c r="P307" t="b">
        <v>0</v>
      </c>
      <c r="Q307" t="b">
        <v>0</v>
      </c>
      <c r="R307" t="str">
        <f>"9789089648051"</f>
        <v>9789089648051</v>
      </c>
      <c r="S307" t="str">
        <f>"9789048526352"</f>
        <v>9789048526352</v>
      </c>
      <c r="T307">
        <v>961272363</v>
      </c>
    </row>
    <row r="308" spans="1:20" x14ac:dyDescent="0.25">
      <c r="A308">
        <v>1403400</v>
      </c>
      <c r="B308" t="s">
        <v>1620</v>
      </c>
      <c r="D308" t="s">
        <v>22</v>
      </c>
      <c r="E308" t="s">
        <v>22</v>
      </c>
      <c r="F308">
        <v>2016</v>
      </c>
      <c r="G308" t="s">
        <v>57</v>
      </c>
      <c r="H308" t="s">
        <v>1621</v>
      </c>
      <c r="I308" t="s">
        <v>1622</v>
      </c>
      <c r="J308" t="s">
        <v>26</v>
      </c>
      <c r="K308" t="s">
        <v>27</v>
      </c>
      <c r="L308" t="b">
        <v>1</v>
      </c>
      <c r="M308" t="s">
        <v>1623</v>
      </c>
      <c r="N308" t="str">
        <f>"303.48/4"</f>
        <v>303.48/4</v>
      </c>
      <c r="O308" t="s">
        <v>191</v>
      </c>
      <c r="P308" t="b">
        <v>0</v>
      </c>
      <c r="Q308" t="b">
        <v>0</v>
      </c>
      <c r="R308" t="str">
        <f>"9789089647641"</f>
        <v>9789089647641</v>
      </c>
      <c r="S308" t="str">
        <f>"9789048525485"</f>
        <v>9789048525485</v>
      </c>
      <c r="T308">
        <v>961272435</v>
      </c>
    </row>
    <row r="309" spans="1:20" x14ac:dyDescent="0.25">
      <c r="A309">
        <v>1399365</v>
      </c>
      <c r="B309" t="s">
        <v>1624</v>
      </c>
      <c r="D309" t="s">
        <v>240</v>
      </c>
      <c r="E309" t="s">
        <v>1625</v>
      </c>
      <c r="F309">
        <v>2017</v>
      </c>
      <c r="G309" t="s">
        <v>182</v>
      </c>
      <c r="H309" t="s">
        <v>1626</v>
      </c>
      <c r="I309" t="s">
        <v>1627</v>
      </c>
      <c r="J309" t="s">
        <v>26</v>
      </c>
      <c r="K309" t="s">
        <v>27</v>
      </c>
      <c r="L309" t="b">
        <v>1</v>
      </c>
      <c r="M309" t="s">
        <v>1628</v>
      </c>
      <c r="N309" t="str">
        <f>"001.2"</f>
        <v>001.2</v>
      </c>
      <c r="O309" t="s">
        <v>1629</v>
      </c>
      <c r="P309" t="b">
        <v>0</v>
      </c>
      <c r="R309" t="str">
        <f>"9781512600322"</f>
        <v>9781512600322</v>
      </c>
      <c r="S309" t="str">
        <f>"9781512600339"</f>
        <v>9781512600339</v>
      </c>
      <c r="T309">
        <v>978351985</v>
      </c>
    </row>
    <row r="310" spans="1:20" x14ac:dyDescent="0.25">
      <c r="A310">
        <v>1399246</v>
      </c>
      <c r="B310" t="s">
        <v>1630</v>
      </c>
      <c r="C310" t="s">
        <v>1631</v>
      </c>
      <c r="D310" t="s">
        <v>211</v>
      </c>
      <c r="E310" t="s">
        <v>212</v>
      </c>
      <c r="F310">
        <v>2016</v>
      </c>
      <c r="G310" t="s">
        <v>1632</v>
      </c>
      <c r="H310" t="s">
        <v>1633</v>
      </c>
      <c r="I310" t="s">
        <v>1634</v>
      </c>
      <c r="J310" t="s">
        <v>26</v>
      </c>
      <c r="K310" t="s">
        <v>27</v>
      </c>
      <c r="L310" t="b">
        <v>1</v>
      </c>
      <c r="M310" t="s">
        <v>1635</v>
      </c>
      <c r="N310" t="str">
        <f>"940.31"</f>
        <v>940.31</v>
      </c>
      <c r="P310" t="b">
        <v>0</v>
      </c>
      <c r="Q310" t="b">
        <v>0</v>
      </c>
      <c r="S310" t="str">
        <f>"9781925495119"</f>
        <v>9781925495119</v>
      </c>
      <c r="T310">
        <v>961185304</v>
      </c>
    </row>
    <row r="311" spans="1:20" x14ac:dyDescent="0.25">
      <c r="A311">
        <v>1399245</v>
      </c>
      <c r="B311" t="s">
        <v>1636</v>
      </c>
      <c r="C311" t="s">
        <v>1637</v>
      </c>
      <c r="D311" t="s">
        <v>211</v>
      </c>
      <c r="E311" t="s">
        <v>212</v>
      </c>
      <c r="F311">
        <v>2016</v>
      </c>
      <c r="G311" t="s">
        <v>1638</v>
      </c>
      <c r="H311" t="s">
        <v>1639</v>
      </c>
      <c r="I311" t="s">
        <v>1640</v>
      </c>
      <c r="J311" t="s">
        <v>26</v>
      </c>
      <c r="K311" t="s">
        <v>27</v>
      </c>
      <c r="L311" t="b">
        <v>1</v>
      </c>
      <c r="M311" t="s">
        <v>1641</v>
      </c>
      <c r="N311" t="str">
        <f>"959.6"</f>
        <v>959.6</v>
      </c>
      <c r="P311" t="b">
        <v>0</v>
      </c>
      <c r="Q311" t="b">
        <v>0</v>
      </c>
      <c r="S311" t="str">
        <f>"9781925377132"</f>
        <v>9781925377132</v>
      </c>
      <c r="T311">
        <v>961185280</v>
      </c>
    </row>
    <row r="312" spans="1:20" x14ac:dyDescent="0.25">
      <c r="A312">
        <v>1399244</v>
      </c>
      <c r="B312" t="s">
        <v>1642</v>
      </c>
      <c r="C312" t="s">
        <v>1643</v>
      </c>
      <c r="D312" t="s">
        <v>211</v>
      </c>
      <c r="E312" t="s">
        <v>212</v>
      </c>
      <c r="F312">
        <v>2016</v>
      </c>
      <c r="G312" t="s">
        <v>1644</v>
      </c>
      <c r="H312" t="s">
        <v>1645</v>
      </c>
      <c r="I312" t="s">
        <v>1646</v>
      </c>
      <c r="J312" t="s">
        <v>26</v>
      </c>
      <c r="K312" t="s">
        <v>27</v>
      </c>
      <c r="L312" t="b">
        <v>1</v>
      </c>
      <c r="M312" t="s">
        <v>1647</v>
      </c>
      <c r="N312" t="str">
        <f>"791.4570994"</f>
        <v>791.4570994</v>
      </c>
      <c r="P312" t="b">
        <v>0</v>
      </c>
      <c r="Q312" t="b">
        <v>0</v>
      </c>
      <c r="S312" t="str">
        <f>"9781925377118"</f>
        <v>9781925377118</v>
      </c>
      <c r="T312">
        <v>961117567</v>
      </c>
    </row>
    <row r="313" spans="1:20" x14ac:dyDescent="0.25">
      <c r="A313">
        <v>1398131</v>
      </c>
      <c r="B313" t="s">
        <v>1648</v>
      </c>
      <c r="D313" t="s">
        <v>22</v>
      </c>
      <c r="E313" t="s">
        <v>22</v>
      </c>
      <c r="F313">
        <v>2016</v>
      </c>
      <c r="G313" t="s">
        <v>1649</v>
      </c>
      <c r="H313" t="s">
        <v>1650</v>
      </c>
      <c r="I313" t="s">
        <v>1651</v>
      </c>
      <c r="J313" t="s">
        <v>26</v>
      </c>
      <c r="K313" t="s">
        <v>27</v>
      </c>
      <c r="L313" t="b">
        <v>1</v>
      </c>
      <c r="M313" t="s">
        <v>1652</v>
      </c>
      <c r="N313" t="str">
        <f>"327.1"</f>
        <v>327.1</v>
      </c>
      <c r="O313" t="s">
        <v>29</v>
      </c>
      <c r="P313" t="b">
        <v>0</v>
      </c>
      <c r="Q313" t="b">
        <v>0</v>
      </c>
      <c r="R313" t="str">
        <f>"9789462982192"</f>
        <v>9789462982192</v>
      </c>
      <c r="S313" t="str">
        <f>"9789048532124"</f>
        <v>9789048532124</v>
      </c>
      <c r="T313">
        <v>961451358</v>
      </c>
    </row>
    <row r="314" spans="1:20" x14ac:dyDescent="0.25">
      <c r="A314">
        <v>1385570</v>
      </c>
      <c r="B314" t="s">
        <v>1653</v>
      </c>
      <c r="C314" t="s">
        <v>1654</v>
      </c>
      <c r="D314" t="s">
        <v>211</v>
      </c>
      <c r="E314" t="s">
        <v>212</v>
      </c>
      <c r="F314">
        <v>2016</v>
      </c>
      <c r="G314" t="s">
        <v>712</v>
      </c>
      <c r="H314" t="s">
        <v>1655</v>
      </c>
      <c r="I314" t="s">
        <v>1656</v>
      </c>
      <c r="J314" t="s">
        <v>26</v>
      </c>
      <c r="K314" t="s">
        <v>27</v>
      </c>
      <c r="L314" t="b">
        <v>1</v>
      </c>
      <c r="M314" t="s">
        <v>1657</v>
      </c>
      <c r="N314" t="str">
        <f>"994.290049915"</f>
        <v>994.290049915</v>
      </c>
      <c r="P314" t="b">
        <v>0</v>
      </c>
      <c r="Q314" t="b">
        <v>0</v>
      </c>
      <c r="S314" t="str">
        <f>"9781925377170"</f>
        <v>9781925377170</v>
      </c>
      <c r="T314">
        <v>960901523</v>
      </c>
    </row>
    <row r="315" spans="1:20" x14ac:dyDescent="0.25">
      <c r="A315">
        <v>1366469</v>
      </c>
      <c r="B315" t="s">
        <v>1658</v>
      </c>
      <c r="D315" t="s">
        <v>131</v>
      </c>
      <c r="E315" t="s">
        <v>669</v>
      </c>
      <c r="F315">
        <v>2015</v>
      </c>
      <c r="G315" t="s">
        <v>1659</v>
      </c>
      <c r="H315" t="s">
        <v>1660</v>
      </c>
      <c r="I315" t="s">
        <v>1661</v>
      </c>
      <c r="J315" t="s">
        <v>26</v>
      </c>
      <c r="K315" t="s">
        <v>48</v>
      </c>
      <c r="L315" t="b">
        <v>1</v>
      </c>
      <c r="M315" t="s">
        <v>1662</v>
      </c>
      <c r="N315" t="str">
        <f>"822/.92"</f>
        <v>822/.92</v>
      </c>
      <c r="O315" t="s">
        <v>912</v>
      </c>
      <c r="P315" t="b">
        <v>0</v>
      </c>
      <c r="R315" t="str">
        <f>"9781783199648"</f>
        <v>9781783199648</v>
      </c>
      <c r="S315" t="str">
        <f>"9781783199655"</f>
        <v>9781783199655</v>
      </c>
      <c r="T315">
        <v>964647928</v>
      </c>
    </row>
    <row r="316" spans="1:20" x14ac:dyDescent="0.25">
      <c r="A316">
        <v>1361387</v>
      </c>
      <c r="B316" t="s">
        <v>1663</v>
      </c>
      <c r="D316" t="s">
        <v>487</v>
      </c>
      <c r="E316" t="s">
        <v>488</v>
      </c>
      <c r="F316">
        <v>2016</v>
      </c>
      <c r="G316" t="s">
        <v>1664</v>
      </c>
      <c r="H316" t="s">
        <v>1665</v>
      </c>
      <c r="I316" t="s">
        <v>1666</v>
      </c>
      <c r="J316" t="s">
        <v>26</v>
      </c>
      <c r="K316" t="s">
        <v>27</v>
      </c>
      <c r="L316" t="b">
        <v>1</v>
      </c>
      <c r="M316" t="s">
        <v>1667</v>
      </c>
      <c r="N316" t="str">
        <f>"883/.01"</f>
        <v>883/.01</v>
      </c>
      <c r="O316" t="s">
        <v>498</v>
      </c>
      <c r="P316" t="b">
        <v>0</v>
      </c>
      <c r="Q316" t="b">
        <v>0</v>
      </c>
      <c r="R316" t="str">
        <f>"9781781881217"</f>
        <v>9781781881217</v>
      </c>
      <c r="S316" t="str">
        <f>"9781781886045"</f>
        <v>9781781886045</v>
      </c>
      <c r="T316">
        <v>959909554</v>
      </c>
    </row>
    <row r="317" spans="1:20" x14ac:dyDescent="0.25">
      <c r="A317">
        <v>1350982</v>
      </c>
      <c r="B317" t="s">
        <v>1668</v>
      </c>
      <c r="C317" t="s">
        <v>1669</v>
      </c>
      <c r="D317" t="s">
        <v>131</v>
      </c>
      <c r="E317" t="s">
        <v>276</v>
      </c>
      <c r="F317">
        <v>2016</v>
      </c>
      <c r="G317" t="s">
        <v>289</v>
      </c>
      <c r="H317" t="s">
        <v>1670</v>
      </c>
      <c r="I317" t="s">
        <v>1671</v>
      </c>
      <c r="J317" t="s">
        <v>26</v>
      </c>
      <c r="K317" t="s">
        <v>86</v>
      </c>
      <c r="L317" t="b">
        <v>1</v>
      </c>
      <c r="M317" t="s">
        <v>1672</v>
      </c>
      <c r="N317" t="str">
        <f>"810.936"</f>
        <v>810.936</v>
      </c>
      <c r="P317" t="b">
        <v>0</v>
      </c>
      <c r="Q317" t="b">
        <v>0</v>
      </c>
      <c r="R317" t="str">
        <f>"9781595347862"</f>
        <v>9781595347862</v>
      </c>
      <c r="S317" t="str">
        <f>"9781595347879"</f>
        <v>9781595347879</v>
      </c>
      <c r="T317">
        <v>960838243</v>
      </c>
    </row>
    <row r="318" spans="1:20" x14ac:dyDescent="0.25">
      <c r="A318">
        <v>1349091</v>
      </c>
      <c r="B318" t="s">
        <v>1673</v>
      </c>
      <c r="D318" t="s">
        <v>131</v>
      </c>
      <c r="E318" t="s">
        <v>1674</v>
      </c>
      <c r="F318">
        <v>2016</v>
      </c>
      <c r="G318" t="s">
        <v>1200</v>
      </c>
      <c r="H318" t="s">
        <v>1675</v>
      </c>
      <c r="I318" t="s">
        <v>1676</v>
      </c>
      <c r="J318" t="s">
        <v>26</v>
      </c>
      <c r="K318" t="s">
        <v>86</v>
      </c>
      <c r="L318" t="b">
        <v>1</v>
      </c>
      <c r="M318" t="s">
        <v>1677</v>
      </c>
      <c r="N318" t="str">
        <f>"839/.134"</f>
        <v>839/.134</v>
      </c>
      <c r="P318" t="b">
        <v>1</v>
      </c>
      <c r="Q318" t="b">
        <v>0</v>
      </c>
      <c r="R318" t="str">
        <f>"9781942134213"</f>
        <v>9781942134213</v>
      </c>
      <c r="S318" t="str">
        <f>"9781942134220"</f>
        <v>9781942134220</v>
      </c>
      <c r="T318">
        <v>956435217</v>
      </c>
    </row>
    <row r="319" spans="1:20" x14ac:dyDescent="0.25">
      <c r="A319">
        <v>1349082</v>
      </c>
      <c r="B319" t="s">
        <v>1678</v>
      </c>
      <c r="C319" t="s">
        <v>1679</v>
      </c>
      <c r="D319" t="s">
        <v>123</v>
      </c>
      <c r="E319" t="s">
        <v>1680</v>
      </c>
      <c r="F319">
        <v>2016</v>
      </c>
      <c r="G319" t="s">
        <v>1681</v>
      </c>
      <c r="H319" t="s">
        <v>1682</v>
      </c>
      <c r="I319" t="s">
        <v>1683</v>
      </c>
      <c r="J319" t="s">
        <v>26</v>
      </c>
      <c r="K319" t="s">
        <v>48</v>
      </c>
      <c r="L319" t="b">
        <v>1</v>
      </c>
      <c r="M319" t="s">
        <v>1684</v>
      </c>
      <c r="N319" t="str">
        <f>"333.72025"</f>
        <v>333.72025</v>
      </c>
      <c r="P319" t="b">
        <v>0</v>
      </c>
      <c r="Q319" t="b">
        <v>0</v>
      </c>
      <c r="R319" t="str">
        <f>"9781631440502"</f>
        <v>9781631440502</v>
      </c>
      <c r="S319" t="str">
        <f>"9781631440519"</f>
        <v>9781631440519</v>
      </c>
      <c r="T319">
        <v>957125543</v>
      </c>
    </row>
    <row r="320" spans="1:20" x14ac:dyDescent="0.25">
      <c r="A320">
        <v>1348997</v>
      </c>
      <c r="B320" t="s">
        <v>1685</v>
      </c>
      <c r="C320" t="s">
        <v>1686</v>
      </c>
      <c r="D320" t="s">
        <v>123</v>
      </c>
      <c r="E320" t="s">
        <v>1687</v>
      </c>
      <c r="F320">
        <v>2016</v>
      </c>
      <c r="G320" t="s">
        <v>1688</v>
      </c>
      <c r="H320" t="s">
        <v>1689</v>
      </c>
      <c r="I320" t="s">
        <v>1690</v>
      </c>
      <c r="J320" t="s">
        <v>26</v>
      </c>
      <c r="K320" t="s">
        <v>48</v>
      </c>
      <c r="L320" t="b">
        <v>1</v>
      </c>
      <c r="M320" t="s">
        <v>1691</v>
      </c>
      <c r="N320" t="str">
        <f>"307.1/4"</f>
        <v>307.1/4</v>
      </c>
      <c r="O320" t="s">
        <v>1692</v>
      </c>
      <c r="P320" t="b">
        <v>0</v>
      </c>
      <c r="Q320" t="b">
        <v>0</v>
      </c>
      <c r="R320" t="str">
        <f>"9781680991666"</f>
        <v>9781680991666</v>
      </c>
      <c r="S320" t="str">
        <f>"9781680991673"</f>
        <v>9781680991673</v>
      </c>
      <c r="T320">
        <v>953577250</v>
      </c>
    </row>
    <row r="321" spans="1:20" x14ac:dyDescent="0.25">
      <c r="A321">
        <v>1348984</v>
      </c>
      <c r="B321" t="s">
        <v>1693</v>
      </c>
      <c r="C321" t="s">
        <v>1694</v>
      </c>
      <c r="D321" t="s">
        <v>123</v>
      </c>
      <c r="E321" t="s">
        <v>124</v>
      </c>
      <c r="F321">
        <v>2016</v>
      </c>
      <c r="G321" t="s">
        <v>1695</v>
      </c>
      <c r="H321" t="s">
        <v>1696</v>
      </c>
      <c r="I321" t="s">
        <v>1697</v>
      </c>
      <c r="J321" t="s">
        <v>26</v>
      </c>
      <c r="K321" t="s">
        <v>48</v>
      </c>
      <c r="L321" t="b">
        <v>1</v>
      </c>
      <c r="M321" t="s">
        <v>1698</v>
      </c>
      <c r="N321" t="str">
        <f>"332.1/78"</f>
        <v>332.1/78</v>
      </c>
      <c r="P321" t="b">
        <v>0</v>
      </c>
      <c r="Q321" t="b">
        <v>0</v>
      </c>
      <c r="R321" t="str">
        <f>"9781634505246"</f>
        <v>9781634505246</v>
      </c>
      <c r="S321" t="str">
        <f>"9781510701489"</f>
        <v>9781510701489</v>
      </c>
      <c r="T321">
        <v>956946886</v>
      </c>
    </row>
    <row r="322" spans="1:20" x14ac:dyDescent="0.25">
      <c r="A322">
        <v>1348950</v>
      </c>
      <c r="B322" t="s">
        <v>1699</v>
      </c>
      <c r="D322" t="s">
        <v>1151</v>
      </c>
      <c r="E322" t="s">
        <v>1700</v>
      </c>
      <c r="F322">
        <v>2016</v>
      </c>
      <c r="G322" t="s">
        <v>355</v>
      </c>
      <c r="H322" t="s">
        <v>1701</v>
      </c>
      <c r="I322" t="s">
        <v>1702</v>
      </c>
      <c r="J322" t="s">
        <v>26</v>
      </c>
      <c r="K322" t="s">
        <v>48</v>
      </c>
      <c r="L322" t="b">
        <v>1</v>
      </c>
      <c r="M322" t="s">
        <v>1703</v>
      </c>
      <c r="N322" t="str">
        <f>"686.2/2"</f>
        <v>686.2/2</v>
      </c>
      <c r="P322" t="b">
        <v>0</v>
      </c>
      <c r="Q322" t="b">
        <v>0</v>
      </c>
      <c r="R322" t="str">
        <f>"9781621535355"</f>
        <v>9781621535355</v>
      </c>
      <c r="S322" t="str">
        <f>"9781621535386"</f>
        <v>9781621535386</v>
      </c>
      <c r="T322">
        <v>958120840</v>
      </c>
    </row>
    <row r="323" spans="1:20" x14ac:dyDescent="0.25">
      <c r="A323">
        <v>1348931</v>
      </c>
      <c r="B323" t="s">
        <v>1704</v>
      </c>
      <c r="C323" t="s">
        <v>1705</v>
      </c>
      <c r="D323" t="s">
        <v>123</v>
      </c>
      <c r="E323" t="s">
        <v>1706</v>
      </c>
      <c r="F323">
        <v>2016</v>
      </c>
      <c r="G323" t="s">
        <v>1707</v>
      </c>
      <c r="H323" t="s">
        <v>1708</v>
      </c>
      <c r="I323" t="s">
        <v>1709</v>
      </c>
      <c r="J323" t="s">
        <v>26</v>
      </c>
      <c r="K323" t="s">
        <v>48</v>
      </c>
      <c r="L323" t="b">
        <v>1</v>
      </c>
      <c r="M323" t="s">
        <v>1710</v>
      </c>
      <c r="N323" t="str">
        <f>"307.1/16"</f>
        <v>307.1/16</v>
      </c>
      <c r="P323" t="b">
        <v>0</v>
      </c>
      <c r="Q323" t="b">
        <v>0</v>
      </c>
      <c r="R323" t="str">
        <f>"9781628726008"</f>
        <v>9781628726008</v>
      </c>
      <c r="S323" t="str">
        <f>"9781628726145"</f>
        <v>9781628726145</v>
      </c>
      <c r="T323">
        <v>948748780</v>
      </c>
    </row>
    <row r="324" spans="1:20" x14ac:dyDescent="0.25">
      <c r="A324">
        <v>1348913</v>
      </c>
      <c r="B324" t="s">
        <v>1711</v>
      </c>
      <c r="C324" t="s">
        <v>1712</v>
      </c>
      <c r="D324" t="s">
        <v>123</v>
      </c>
      <c r="E324" t="s">
        <v>1713</v>
      </c>
      <c r="F324">
        <v>2016</v>
      </c>
      <c r="G324" t="s">
        <v>1714</v>
      </c>
      <c r="H324" t="s">
        <v>1715</v>
      </c>
      <c r="I324" t="s">
        <v>1716</v>
      </c>
      <c r="J324" t="s">
        <v>26</v>
      </c>
      <c r="K324" t="s">
        <v>48</v>
      </c>
      <c r="L324" t="b">
        <v>1</v>
      </c>
      <c r="M324" t="s">
        <v>1717</v>
      </c>
      <c r="N324" t="str">
        <f>"792.602/8"</f>
        <v>792.602/8</v>
      </c>
      <c r="P324" t="b">
        <v>0</v>
      </c>
      <c r="Q324" t="b">
        <v>0</v>
      </c>
      <c r="R324" t="str">
        <f>"9781621535225"</f>
        <v>9781621535225</v>
      </c>
      <c r="S324" t="str">
        <f>"9781621535232"</f>
        <v>9781621535232</v>
      </c>
      <c r="T324">
        <v>957265857</v>
      </c>
    </row>
    <row r="325" spans="1:20" x14ac:dyDescent="0.25">
      <c r="A325">
        <v>1348885</v>
      </c>
      <c r="B325" t="s">
        <v>1718</v>
      </c>
      <c r="C325" t="s">
        <v>1719</v>
      </c>
      <c r="D325" t="s">
        <v>123</v>
      </c>
      <c r="E325" t="s">
        <v>1720</v>
      </c>
      <c r="F325">
        <v>2008</v>
      </c>
      <c r="G325" t="s">
        <v>1721</v>
      </c>
      <c r="H325" t="s">
        <v>1722</v>
      </c>
      <c r="I325" t="s">
        <v>1723</v>
      </c>
      <c r="J325" t="s">
        <v>26</v>
      </c>
      <c r="K325" t="s">
        <v>48</v>
      </c>
      <c r="L325" t="b">
        <v>1</v>
      </c>
      <c r="M325" t="s">
        <v>1724</v>
      </c>
      <c r="N325" t="str">
        <f>"909.82"</f>
        <v>909.82</v>
      </c>
      <c r="P325" t="b">
        <v>0</v>
      </c>
      <c r="Q325" t="b">
        <v>0</v>
      </c>
      <c r="R325" t="str">
        <f>"9781596985506"</f>
        <v>9781596985506</v>
      </c>
      <c r="S325" t="str">
        <f>"9781596980341"</f>
        <v>9781596980341</v>
      </c>
      <c r="T325">
        <v>952247097</v>
      </c>
    </row>
    <row r="326" spans="1:20" x14ac:dyDescent="0.25">
      <c r="A326">
        <v>1348484</v>
      </c>
      <c r="B326" t="s">
        <v>1725</v>
      </c>
      <c r="C326" t="s">
        <v>1726</v>
      </c>
      <c r="D326" t="s">
        <v>70</v>
      </c>
      <c r="E326" t="s">
        <v>71</v>
      </c>
      <c r="F326">
        <v>2014</v>
      </c>
      <c r="G326" t="s">
        <v>72</v>
      </c>
      <c r="H326" t="s">
        <v>1727</v>
      </c>
      <c r="J326" t="s">
        <v>26</v>
      </c>
      <c r="K326" t="s">
        <v>27</v>
      </c>
      <c r="L326" t="b">
        <v>1</v>
      </c>
      <c r="M326" t="s">
        <v>1728</v>
      </c>
      <c r="N326" t="str">
        <f>"791.4302/30924"</f>
        <v>791.4302/30924</v>
      </c>
      <c r="O326" t="s">
        <v>1729</v>
      </c>
      <c r="P326" t="b">
        <v>0</v>
      </c>
      <c r="R326" t="str">
        <f>"9781844578023"</f>
        <v>9781844578023</v>
      </c>
      <c r="S326" t="str">
        <f>"9781844578818"</f>
        <v>9781844578818</v>
      </c>
      <c r="T326">
        <v>1039079262</v>
      </c>
    </row>
    <row r="327" spans="1:20" x14ac:dyDescent="0.25">
      <c r="A327">
        <v>1347600</v>
      </c>
      <c r="B327" t="s">
        <v>1730</v>
      </c>
      <c r="D327" t="s">
        <v>131</v>
      </c>
      <c r="E327" t="s">
        <v>1731</v>
      </c>
      <c r="F327">
        <v>2016</v>
      </c>
      <c r="G327" t="s">
        <v>283</v>
      </c>
      <c r="H327" t="s">
        <v>1732</v>
      </c>
      <c r="I327" t="s">
        <v>1733</v>
      </c>
      <c r="J327" t="s">
        <v>26</v>
      </c>
      <c r="K327" t="s">
        <v>48</v>
      </c>
      <c r="L327" t="b">
        <v>1</v>
      </c>
      <c r="M327" t="s">
        <v>1734</v>
      </c>
      <c r="N327" t="str">
        <f>"808.84"</f>
        <v>808.84</v>
      </c>
      <c r="P327" t="b">
        <v>0</v>
      </c>
      <c r="Q327" t="b">
        <v>0</v>
      </c>
      <c r="R327" t="str">
        <f>"9781938103919"</f>
        <v>9781938103919</v>
      </c>
      <c r="S327" t="str">
        <f>"9781941088722"</f>
        <v>9781941088722</v>
      </c>
      <c r="T327">
        <v>956501418</v>
      </c>
    </row>
    <row r="328" spans="1:20" x14ac:dyDescent="0.25">
      <c r="A328">
        <v>1347591</v>
      </c>
      <c r="B328" t="s">
        <v>1735</v>
      </c>
      <c r="C328" t="s">
        <v>1736</v>
      </c>
      <c r="D328" t="s">
        <v>131</v>
      </c>
      <c r="E328" t="s">
        <v>1737</v>
      </c>
      <c r="F328">
        <v>2016</v>
      </c>
      <c r="G328" t="s">
        <v>1738</v>
      </c>
      <c r="H328" t="s">
        <v>1739</v>
      </c>
      <c r="I328" t="s">
        <v>1740</v>
      </c>
      <c r="J328" t="s">
        <v>26</v>
      </c>
      <c r="K328" t="s">
        <v>86</v>
      </c>
      <c r="L328" t="b">
        <v>1</v>
      </c>
      <c r="M328" t="s">
        <v>1741</v>
      </c>
      <c r="N328" t="str">
        <f>"071/.1"</f>
        <v>071/.1</v>
      </c>
      <c r="P328" t="b">
        <v>0</v>
      </c>
      <c r="Q328" t="b">
        <v>0</v>
      </c>
      <c r="R328" t="str">
        <f>"9781771642682"</f>
        <v>9781771642682</v>
      </c>
      <c r="S328" t="str">
        <f>"9781771642699"</f>
        <v>9781771642699</v>
      </c>
      <c r="T328">
        <v>961933268</v>
      </c>
    </row>
    <row r="329" spans="1:20" x14ac:dyDescent="0.25">
      <c r="A329">
        <v>1346251</v>
      </c>
      <c r="B329" t="s">
        <v>1742</v>
      </c>
      <c r="C329" t="s">
        <v>1743</v>
      </c>
      <c r="D329" t="s">
        <v>131</v>
      </c>
      <c r="E329" t="s">
        <v>552</v>
      </c>
      <c r="F329">
        <v>2016</v>
      </c>
      <c r="G329" t="s">
        <v>1744</v>
      </c>
      <c r="H329" t="s">
        <v>1745</v>
      </c>
      <c r="I329" t="s">
        <v>1746</v>
      </c>
      <c r="J329" t="s">
        <v>26</v>
      </c>
      <c r="K329" t="s">
        <v>86</v>
      </c>
      <c r="L329" t="b">
        <v>1</v>
      </c>
      <c r="M329" t="s">
        <v>1747</v>
      </c>
      <c r="N329" t="str">
        <f>"941.07/5092"</f>
        <v>941.07/5092</v>
      </c>
      <c r="P329" t="b">
        <v>0</v>
      </c>
      <c r="Q329" t="b">
        <v>0</v>
      </c>
      <c r="R329" t="str">
        <f>"9781780749600"</f>
        <v>9781780749600</v>
      </c>
      <c r="S329" t="str">
        <f>"9781780749617"</f>
        <v>9781780749617</v>
      </c>
      <c r="T329">
        <v>965738508</v>
      </c>
    </row>
    <row r="330" spans="1:20" x14ac:dyDescent="0.25">
      <c r="A330">
        <v>1346239</v>
      </c>
      <c r="B330" t="s">
        <v>1748</v>
      </c>
      <c r="C330" t="s">
        <v>1749</v>
      </c>
      <c r="D330" t="s">
        <v>131</v>
      </c>
      <c r="E330" t="s">
        <v>552</v>
      </c>
      <c r="F330">
        <v>2016</v>
      </c>
      <c r="G330" t="s">
        <v>1750</v>
      </c>
      <c r="H330" t="s">
        <v>1751</v>
      </c>
      <c r="I330" t="s">
        <v>1752</v>
      </c>
      <c r="J330" t="s">
        <v>26</v>
      </c>
      <c r="K330" t="s">
        <v>86</v>
      </c>
      <c r="L330" t="b">
        <v>1</v>
      </c>
      <c r="M330" t="s">
        <v>1753</v>
      </c>
      <c r="N330" t="str">
        <f>"617/.092"</f>
        <v>617/.092</v>
      </c>
      <c r="P330" t="b">
        <v>0</v>
      </c>
      <c r="Q330" t="b">
        <v>0</v>
      </c>
      <c r="R330" t="str">
        <f>"9781780748313"</f>
        <v>9781780748313</v>
      </c>
      <c r="S330" t="str">
        <f>"9781780743141"</f>
        <v>9781780743141</v>
      </c>
      <c r="T330">
        <v>957590620</v>
      </c>
    </row>
    <row r="331" spans="1:20" x14ac:dyDescent="0.25">
      <c r="A331">
        <v>1346169</v>
      </c>
      <c r="B331" t="s">
        <v>1754</v>
      </c>
      <c r="C331" t="s">
        <v>1755</v>
      </c>
      <c r="D331" t="s">
        <v>131</v>
      </c>
      <c r="E331" t="s">
        <v>1737</v>
      </c>
      <c r="F331">
        <v>2015</v>
      </c>
      <c r="G331" t="s">
        <v>1756</v>
      </c>
      <c r="H331" t="s">
        <v>1757</v>
      </c>
      <c r="I331" t="s">
        <v>1758</v>
      </c>
      <c r="J331" t="s">
        <v>26</v>
      </c>
      <c r="K331" t="s">
        <v>86</v>
      </c>
      <c r="L331" t="b">
        <v>1</v>
      </c>
      <c r="M331" t="s">
        <v>1759</v>
      </c>
      <c r="N331" t="str">
        <f>"641.2/5"</f>
        <v>641.2/5</v>
      </c>
      <c r="P331" t="b">
        <v>0</v>
      </c>
      <c r="Q331" t="b">
        <v>0</v>
      </c>
      <c r="R331" t="str">
        <f>"9781771641197"</f>
        <v>9781771641197</v>
      </c>
      <c r="S331" t="str">
        <f>"9781771641203"</f>
        <v>9781771641203</v>
      </c>
      <c r="T331">
        <v>1066409607</v>
      </c>
    </row>
    <row r="332" spans="1:20" x14ac:dyDescent="0.25">
      <c r="A332">
        <v>1294757</v>
      </c>
      <c r="B332" t="s">
        <v>1760</v>
      </c>
      <c r="D332" t="s">
        <v>1364</v>
      </c>
      <c r="E332" t="s">
        <v>1364</v>
      </c>
      <c r="F332">
        <v>2016</v>
      </c>
      <c r="G332" t="s">
        <v>197</v>
      </c>
      <c r="H332" t="s">
        <v>1761</v>
      </c>
      <c r="I332" t="s">
        <v>1762</v>
      </c>
      <c r="J332" t="s">
        <v>26</v>
      </c>
      <c r="K332" t="s">
        <v>86</v>
      </c>
      <c r="L332" t="b">
        <v>1</v>
      </c>
      <c r="M332" t="s">
        <v>1763</v>
      </c>
      <c r="N332" t="str">
        <f>"833/.912"</f>
        <v>833/.912</v>
      </c>
      <c r="O332" t="s">
        <v>1764</v>
      </c>
      <c r="P332" t="b">
        <v>0</v>
      </c>
      <c r="R332" t="str">
        <f>"9783110455328"</f>
        <v>9783110455328</v>
      </c>
      <c r="S332" t="str">
        <f>"9783110457438"</f>
        <v>9783110457438</v>
      </c>
      <c r="T332">
        <v>956997774</v>
      </c>
    </row>
    <row r="333" spans="1:20" x14ac:dyDescent="0.25">
      <c r="A333">
        <v>1288404</v>
      </c>
      <c r="B333" t="s">
        <v>1765</v>
      </c>
      <c r="D333" t="s">
        <v>22</v>
      </c>
      <c r="E333" t="s">
        <v>22</v>
      </c>
      <c r="F333">
        <v>2016</v>
      </c>
      <c r="G333" t="s">
        <v>1649</v>
      </c>
      <c r="H333" t="s">
        <v>1766</v>
      </c>
      <c r="I333" t="s">
        <v>1767</v>
      </c>
      <c r="J333" t="s">
        <v>26</v>
      </c>
      <c r="K333" t="s">
        <v>27</v>
      </c>
      <c r="L333" t="b">
        <v>1</v>
      </c>
      <c r="M333" t="s">
        <v>1768</v>
      </c>
      <c r="N333" t="str">
        <f>"303.484"</f>
        <v>303.484</v>
      </c>
      <c r="O333" t="s">
        <v>191</v>
      </c>
      <c r="P333" t="b">
        <v>0</v>
      </c>
      <c r="Q333" t="b">
        <v>0</v>
      </c>
      <c r="R333" t="str">
        <f>"9789089647634"</f>
        <v>9789089647634</v>
      </c>
      <c r="S333" t="str">
        <f>"9789048525461"</f>
        <v>9789048525461</v>
      </c>
      <c r="T333">
        <v>953970341</v>
      </c>
    </row>
    <row r="334" spans="1:20" x14ac:dyDescent="0.25">
      <c r="A334">
        <v>1288400</v>
      </c>
      <c r="B334" t="s">
        <v>1769</v>
      </c>
      <c r="D334" t="s">
        <v>22</v>
      </c>
      <c r="E334" t="s">
        <v>22</v>
      </c>
      <c r="F334">
        <v>2016</v>
      </c>
      <c r="G334" t="s">
        <v>31</v>
      </c>
      <c r="H334" t="s">
        <v>1770</v>
      </c>
      <c r="I334" t="s">
        <v>1771</v>
      </c>
      <c r="J334" t="s">
        <v>26</v>
      </c>
      <c r="K334" t="s">
        <v>27</v>
      </c>
      <c r="L334" t="b">
        <v>1</v>
      </c>
      <c r="M334" t="s">
        <v>1772</v>
      </c>
      <c r="N334" t="str">
        <f>"791.4309492"</f>
        <v>791.4309492</v>
      </c>
      <c r="O334" t="s">
        <v>653</v>
      </c>
      <c r="P334" t="b">
        <v>0</v>
      </c>
      <c r="Q334" t="b">
        <v>0</v>
      </c>
      <c r="R334" t="str">
        <f>"9789089649430"</f>
        <v>9789089649430</v>
      </c>
      <c r="S334" t="str">
        <f>"9789048528370"</f>
        <v>9789048528370</v>
      </c>
      <c r="T334">
        <v>945218633</v>
      </c>
    </row>
    <row r="335" spans="1:20" x14ac:dyDescent="0.25">
      <c r="A335">
        <v>1288399</v>
      </c>
      <c r="B335" t="s">
        <v>1773</v>
      </c>
      <c r="D335" t="s">
        <v>22</v>
      </c>
      <c r="E335" t="s">
        <v>22</v>
      </c>
      <c r="F335">
        <v>2016</v>
      </c>
      <c r="G335" t="s">
        <v>1649</v>
      </c>
      <c r="H335" t="s">
        <v>1774</v>
      </c>
      <c r="I335" t="s">
        <v>1775</v>
      </c>
      <c r="J335" t="s">
        <v>26</v>
      </c>
      <c r="K335" t="s">
        <v>27</v>
      </c>
      <c r="L335" t="b">
        <v>1</v>
      </c>
      <c r="M335" t="s">
        <v>1776</v>
      </c>
      <c r="N335" t="str">
        <f>"900"</f>
        <v>900</v>
      </c>
      <c r="O335" t="s">
        <v>1777</v>
      </c>
      <c r="P335" t="b">
        <v>0</v>
      </c>
      <c r="Q335" t="b">
        <v>0</v>
      </c>
      <c r="R335" t="str">
        <f>"9789089645241"</f>
        <v>9789089645241</v>
      </c>
      <c r="S335" t="str">
        <f>"9789048518654"</f>
        <v>9789048518654</v>
      </c>
      <c r="T335">
        <v>953970413</v>
      </c>
    </row>
    <row r="336" spans="1:20" x14ac:dyDescent="0.25">
      <c r="A336">
        <v>1288397</v>
      </c>
      <c r="B336" t="s">
        <v>1778</v>
      </c>
      <c r="D336" t="s">
        <v>22</v>
      </c>
      <c r="E336" t="s">
        <v>22</v>
      </c>
      <c r="F336">
        <v>2016</v>
      </c>
      <c r="G336" t="s">
        <v>1649</v>
      </c>
      <c r="H336" t="s">
        <v>1779</v>
      </c>
      <c r="I336" t="s">
        <v>1780</v>
      </c>
      <c r="J336" t="s">
        <v>26</v>
      </c>
      <c r="K336" t="s">
        <v>27</v>
      </c>
      <c r="L336" t="b">
        <v>1</v>
      </c>
      <c r="M336" t="s">
        <v>1781</v>
      </c>
      <c r="N336" t="str">
        <f>"307.760954"</f>
        <v>307.760954</v>
      </c>
      <c r="O336" t="s">
        <v>1782</v>
      </c>
      <c r="P336" t="b">
        <v>0</v>
      </c>
      <c r="Q336" t="b">
        <v>0</v>
      </c>
      <c r="R336" t="str">
        <f>"9789089647580"</f>
        <v>9789089647580</v>
      </c>
      <c r="S336" t="str">
        <f>"9789048525362"</f>
        <v>9789048525362</v>
      </c>
      <c r="T336">
        <v>945199548</v>
      </c>
    </row>
    <row r="337" spans="1:20" x14ac:dyDescent="0.25">
      <c r="A337">
        <v>1285798</v>
      </c>
      <c r="B337" t="s">
        <v>1783</v>
      </c>
      <c r="C337" t="s">
        <v>1784</v>
      </c>
      <c r="D337" t="s">
        <v>211</v>
      </c>
      <c r="E337" t="s">
        <v>212</v>
      </c>
      <c r="F337">
        <v>2016</v>
      </c>
      <c r="G337" t="s">
        <v>811</v>
      </c>
      <c r="H337" t="s">
        <v>1785</v>
      </c>
      <c r="I337" t="s">
        <v>1786</v>
      </c>
      <c r="J337" t="s">
        <v>26</v>
      </c>
      <c r="K337" t="s">
        <v>27</v>
      </c>
      <c r="L337" t="b">
        <v>1</v>
      </c>
      <c r="M337" t="s">
        <v>1787</v>
      </c>
      <c r="N337" t="str">
        <f>"362.7672"</f>
        <v>362.7672</v>
      </c>
      <c r="P337" t="b">
        <v>0</v>
      </c>
      <c r="Q337" t="b">
        <v>0</v>
      </c>
      <c r="S337" t="str">
        <f>"9781876924560"</f>
        <v>9781876924560</v>
      </c>
      <c r="T337">
        <v>953694205</v>
      </c>
    </row>
    <row r="338" spans="1:20" x14ac:dyDescent="0.25">
      <c r="A338">
        <v>1282725</v>
      </c>
      <c r="B338" t="s">
        <v>1788</v>
      </c>
      <c r="D338" t="s">
        <v>1789</v>
      </c>
      <c r="E338" t="s">
        <v>1790</v>
      </c>
      <c r="F338">
        <v>2015</v>
      </c>
      <c r="G338" t="s">
        <v>1791</v>
      </c>
      <c r="H338" t="s">
        <v>1792</v>
      </c>
      <c r="I338" t="s">
        <v>1793</v>
      </c>
      <c r="J338" t="s">
        <v>26</v>
      </c>
      <c r="K338" t="s">
        <v>27</v>
      </c>
      <c r="L338" t="b">
        <v>1</v>
      </c>
      <c r="M338" t="s">
        <v>1794</v>
      </c>
      <c r="N338" t="str">
        <f>"320.94"</f>
        <v>320.94</v>
      </c>
      <c r="P338" t="b">
        <v>0</v>
      </c>
      <c r="R338" t="str">
        <f>"9783847401339"</f>
        <v>9783847401339</v>
      </c>
      <c r="S338" t="str">
        <f>"9783847404286"</f>
        <v>9783847404286</v>
      </c>
      <c r="T338">
        <v>935250011</v>
      </c>
    </row>
    <row r="339" spans="1:20" x14ac:dyDescent="0.25">
      <c r="A339">
        <v>1282428</v>
      </c>
      <c r="B339" t="s">
        <v>1795</v>
      </c>
      <c r="D339" t="s">
        <v>1796</v>
      </c>
      <c r="E339" t="s">
        <v>1797</v>
      </c>
      <c r="F339">
        <v>2016</v>
      </c>
      <c r="G339" t="s">
        <v>1798</v>
      </c>
      <c r="H339" t="s">
        <v>531</v>
      </c>
      <c r="I339" t="s">
        <v>1799</v>
      </c>
      <c r="J339" t="s">
        <v>26</v>
      </c>
      <c r="K339" t="s">
        <v>86</v>
      </c>
      <c r="L339" t="b">
        <v>1</v>
      </c>
      <c r="M339" t="s">
        <v>1800</v>
      </c>
      <c r="N339" t="str">
        <f>"658.15/224"</f>
        <v>658.15/224</v>
      </c>
      <c r="P339" t="b">
        <v>0</v>
      </c>
      <c r="R339" t="str">
        <f>"9781413323191"</f>
        <v>9781413323191</v>
      </c>
      <c r="S339" t="str">
        <f>"9781413323207"</f>
        <v>9781413323207</v>
      </c>
      <c r="T339">
        <v>957057085</v>
      </c>
    </row>
    <row r="340" spans="1:20" x14ac:dyDescent="0.25">
      <c r="A340">
        <v>1281528</v>
      </c>
      <c r="B340" t="s">
        <v>1801</v>
      </c>
      <c r="C340" t="s">
        <v>1802</v>
      </c>
      <c r="D340" t="s">
        <v>211</v>
      </c>
      <c r="E340" t="s">
        <v>212</v>
      </c>
      <c r="F340">
        <v>2016</v>
      </c>
      <c r="G340" t="s">
        <v>248</v>
      </c>
      <c r="H340" t="s">
        <v>1803</v>
      </c>
      <c r="I340" t="s">
        <v>1804</v>
      </c>
      <c r="J340" t="s">
        <v>26</v>
      </c>
      <c r="K340" t="s">
        <v>27</v>
      </c>
      <c r="L340" t="b">
        <v>1</v>
      </c>
      <c r="M340" t="s">
        <v>1805</v>
      </c>
      <c r="N340" t="str">
        <f>"305.4"</f>
        <v>305.4</v>
      </c>
      <c r="P340" t="b">
        <v>0</v>
      </c>
      <c r="Q340" t="b">
        <v>0</v>
      </c>
      <c r="S340" t="str">
        <f>"9781925377057"</f>
        <v>9781925377057</v>
      </c>
      <c r="T340">
        <v>976035423</v>
      </c>
    </row>
    <row r="341" spans="1:20" x14ac:dyDescent="0.25">
      <c r="A341">
        <v>1281525</v>
      </c>
      <c r="B341" t="s">
        <v>1806</v>
      </c>
      <c r="C341" t="s">
        <v>1807</v>
      </c>
      <c r="D341" t="s">
        <v>211</v>
      </c>
      <c r="E341" t="s">
        <v>212</v>
      </c>
      <c r="F341">
        <v>2016</v>
      </c>
      <c r="G341" t="s">
        <v>1632</v>
      </c>
      <c r="H341" t="s">
        <v>1808</v>
      </c>
      <c r="I341" t="s">
        <v>1809</v>
      </c>
      <c r="J341" t="s">
        <v>26</v>
      </c>
      <c r="K341" t="s">
        <v>27</v>
      </c>
      <c r="L341" t="b">
        <v>1</v>
      </c>
      <c r="M341" t="s">
        <v>1810</v>
      </c>
      <c r="N341" t="str">
        <f>"940.5318092"</f>
        <v>940.5318092</v>
      </c>
      <c r="P341" t="b">
        <v>0</v>
      </c>
      <c r="Q341" t="b">
        <v>0</v>
      </c>
      <c r="T341">
        <v>953459230</v>
      </c>
    </row>
    <row r="342" spans="1:20" x14ac:dyDescent="0.25">
      <c r="A342">
        <v>1281524</v>
      </c>
      <c r="B342" t="s">
        <v>1811</v>
      </c>
      <c r="C342" t="s">
        <v>1812</v>
      </c>
      <c r="D342" t="s">
        <v>211</v>
      </c>
      <c r="E342" t="s">
        <v>212</v>
      </c>
      <c r="F342">
        <v>2016</v>
      </c>
      <c r="G342" t="s">
        <v>1813</v>
      </c>
      <c r="H342" t="s">
        <v>1814</v>
      </c>
      <c r="I342" t="s">
        <v>1815</v>
      </c>
      <c r="J342" t="s">
        <v>26</v>
      </c>
      <c r="K342" t="s">
        <v>27</v>
      </c>
      <c r="L342" t="b">
        <v>1</v>
      </c>
      <c r="M342" t="s">
        <v>1816</v>
      </c>
      <c r="N342" t="str">
        <f>"741.5973"</f>
        <v>741.5973</v>
      </c>
      <c r="O342" t="s">
        <v>1817</v>
      </c>
      <c r="P342" t="b">
        <v>0</v>
      </c>
      <c r="Q342" t="b">
        <v>0</v>
      </c>
      <c r="S342" t="str">
        <f>"9781925377071"</f>
        <v>9781925377071</v>
      </c>
      <c r="T342">
        <v>953459173</v>
      </c>
    </row>
    <row r="343" spans="1:20" x14ac:dyDescent="0.25">
      <c r="A343">
        <v>1281522</v>
      </c>
      <c r="B343" t="s">
        <v>1818</v>
      </c>
      <c r="C343" t="s">
        <v>1819</v>
      </c>
      <c r="D343" t="s">
        <v>211</v>
      </c>
      <c r="E343" t="s">
        <v>212</v>
      </c>
      <c r="F343">
        <v>2016</v>
      </c>
      <c r="G343" t="s">
        <v>1544</v>
      </c>
      <c r="H343" t="s">
        <v>1820</v>
      </c>
      <c r="I343" t="s">
        <v>1821</v>
      </c>
      <c r="J343" t="s">
        <v>26</v>
      </c>
      <c r="K343" t="s">
        <v>27</v>
      </c>
      <c r="L343" t="b">
        <v>1</v>
      </c>
      <c r="M343" t="s">
        <v>1822</v>
      </c>
      <c r="N343" t="str">
        <f>"339"</f>
        <v>339</v>
      </c>
      <c r="O343" t="s">
        <v>1823</v>
      </c>
      <c r="P343" t="b">
        <v>0</v>
      </c>
      <c r="Q343" t="b">
        <v>0</v>
      </c>
      <c r="S343" t="str">
        <f>"9780980510881"</f>
        <v>9780980510881</v>
      </c>
      <c r="T343">
        <v>953523989</v>
      </c>
    </row>
    <row r="344" spans="1:20" x14ac:dyDescent="0.25">
      <c r="A344">
        <v>1268227</v>
      </c>
      <c r="B344" t="s">
        <v>1824</v>
      </c>
      <c r="D344" t="s">
        <v>1533</v>
      </c>
      <c r="E344" t="s">
        <v>1534</v>
      </c>
      <c r="F344">
        <v>2016</v>
      </c>
      <c r="G344" t="s">
        <v>100</v>
      </c>
      <c r="H344" t="s">
        <v>1825</v>
      </c>
      <c r="I344" t="s">
        <v>1826</v>
      </c>
      <c r="J344" t="s">
        <v>26</v>
      </c>
      <c r="K344" t="s">
        <v>27</v>
      </c>
      <c r="L344" t="b">
        <v>1</v>
      </c>
      <c r="M344" t="s">
        <v>1827</v>
      </c>
      <c r="N344" t="str">
        <f>"401/.93"</f>
        <v>401/.93</v>
      </c>
      <c r="O344" t="s">
        <v>1828</v>
      </c>
      <c r="P344" t="b">
        <v>0</v>
      </c>
      <c r="R344" t="str">
        <f>"9789027203052"</f>
        <v>9789027203052</v>
      </c>
      <c r="S344" t="str">
        <f>"9789027267191"</f>
        <v>9789027267191</v>
      </c>
      <c r="T344">
        <v>945072190</v>
      </c>
    </row>
    <row r="345" spans="1:20" x14ac:dyDescent="0.25">
      <c r="A345">
        <v>1260922</v>
      </c>
      <c r="B345" t="s">
        <v>1829</v>
      </c>
      <c r="D345" t="s">
        <v>233</v>
      </c>
      <c r="E345" t="s">
        <v>1830</v>
      </c>
      <c r="F345">
        <v>2016</v>
      </c>
      <c r="G345" t="s">
        <v>1417</v>
      </c>
      <c r="H345" t="s">
        <v>1831</v>
      </c>
      <c r="J345" t="s">
        <v>26</v>
      </c>
      <c r="K345" t="s">
        <v>86</v>
      </c>
      <c r="L345" t="b">
        <v>1</v>
      </c>
      <c r="M345" t="s">
        <v>1832</v>
      </c>
      <c r="N345" t="str">
        <f>"791.4372"</f>
        <v>791.4372</v>
      </c>
      <c r="P345" t="b">
        <v>0</v>
      </c>
      <c r="Q345" t="b">
        <v>0</v>
      </c>
      <c r="R345" t="str">
        <f>"9781911325093"</f>
        <v>9781911325093</v>
      </c>
      <c r="S345" t="str">
        <f>"9781911325109"</f>
        <v>9781911325109</v>
      </c>
      <c r="T345">
        <v>956139543</v>
      </c>
    </row>
    <row r="346" spans="1:20" x14ac:dyDescent="0.25">
      <c r="A346">
        <v>1260810</v>
      </c>
      <c r="B346" t="s">
        <v>1833</v>
      </c>
      <c r="C346" t="s">
        <v>1834</v>
      </c>
      <c r="D346" t="s">
        <v>123</v>
      </c>
      <c r="E346" t="s">
        <v>1713</v>
      </c>
      <c r="F346">
        <v>2016</v>
      </c>
      <c r="G346" t="s">
        <v>1835</v>
      </c>
      <c r="H346" t="s">
        <v>1836</v>
      </c>
      <c r="I346" t="s">
        <v>1837</v>
      </c>
      <c r="J346" t="s">
        <v>26</v>
      </c>
      <c r="K346" t="s">
        <v>48</v>
      </c>
      <c r="L346" t="b">
        <v>1</v>
      </c>
      <c r="M346" t="s">
        <v>1838</v>
      </c>
      <c r="N346" t="str">
        <f>"792.02/5"</f>
        <v>792.02/5</v>
      </c>
      <c r="P346" t="b">
        <v>0</v>
      </c>
      <c r="Q346" t="b">
        <v>0</v>
      </c>
      <c r="R346" t="str">
        <f>"9781621535201"</f>
        <v>9781621535201</v>
      </c>
      <c r="S346" t="str">
        <f>"9781621535218"</f>
        <v>9781621535218</v>
      </c>
      <c r="T346">
        <v>957574540</v>
      </c>
    </row>
    <row r="347" spans="1:20" x14ac:dyDescent="0.25">
      <c r="A347">
        <v>1260613</v>
      </c>
      <c r="B347" t="s">
        <v>1839</v>
      </c>
      <c r="C347" t="s">
        <v>1840</v>
      </c>
      <c r="D347" t="s">
        <v>131</v>
      </c>
      <c r="E347" t="s">
        <v>1737</v>
      </c>
      <c r="F347">
        <v>2016</v>
      </c>
      <c r="G347" t="s">
        <v>1681</v>
      </c>
      <c r="H347" t="s">
        <v>1841</v>
      </c>
      <c r="I347" t="s">
        <v>1842</v>
      </c>
      <c r="J347" t="s">
        <v>26</v>
      </c>
      <c r="K347" t="s">
        <v>86</v>
      </c>
      <c r="L347" t="b">
        <v>1</v>
      </c>
      <c r="M347" t="s">
        <v>1843</v>
      </c>
      <c r="N347" t="str">
        <f>"631.8"</f>
        <v>631.8</v>
      </c>
      <c r="P347" t="b">
        <v>0</v>
      </c>
      <c r="Q347" t="b">
        <v>0</v>
      </c>
      <c r="R347" t="str">
        <f>"9781771641104"</f>
        <v>9781771641104</v>
      </c>
      <c r="S347" t="str">
        <f>"9781771641111"</f>
        <v>9781771641111</v>
      </c>
      <c r="T347">
        <v>946215483</v>
      </c>
    </row>
    <row r="348" spans="1:20" x14ac:dyDescent="0.25">
      <c r="A348">
        <v>1250686</v>
      </c>
      <c r="B348" t="s">
        <v>1844</v>
      </c>
      <c r="C348" t="s">
        <v>1845</v>
      </c>
      <c r="D348" t="s">
        <v>1364</v>
      </c>
      <c r="E348" t="s">
        <v>1365</v>
      </c>
      <c r="F348">
        <v>2012</v>
      </c>
      <c r="G348" t="s">
        <v>182</v>
      </c>
      <c r="H348" t="s">
        <v>1846</v>
      </c>
      <c r="J348" t="s">
        <v>26</v>
      </c>
      <c r="K348" t="s">
        <v>27</v>
      </c>
      <c r="L348" t="b">
        <v>1</v>
      </c>
      <c r="M348" t="s">
        <v>1847</v>
      </c>
      <c r="N348" t="str">
        <f>"309.173"</f>
        <v>309.173</v>
      </c>
      <c r="O348" t="s">
        <v>1848</v>
      </c>
      <c r="P348" t="b">
        <v>0</v>
      </c>
      <c r="R348" t="str">
        <f>"9783486716955"</f>
        <v>9783486716955</v>
      </c>
      <c r="S348" t="str">
        <f>"9783110446746"</f>
        <v>9783110446746</v>
      </c>
      <c r="T348">
        <v>953234986</v>
      </c>
    </row>
    <row r="349" spans="1:20" x14ac:dyDescent="0.25">
      <c r="A349">
        <v>1250232</v>
      </c>
      <c r="B349" t="s">
        <v>1849</v>
      </c>
      <c r="C349" t="s">
        <v>1850</v>
      </c>
      <c r="D349" t="s">
        <v>1533</v>
      </c>
      <c r="E349" t="s">
        <v>1534</v>
      </c>
      <c r="F349">
        <v>2016</v>
      </c>
      <c r="G349" t="s">
        <v>1851</v>
      </c>
      <c r="H349" t="s">
        <v>1852</v>
      </c>
      <c r="I349" t="s">
        <v>1853</v>
      </c>
      <c r="J349" t="s">
        <v>26</v>
      </c>
      <c r="K349" t="s">
        <v>27</v>
      </c>
      <c r="L349" t="b">
        <v>1</v>
      </c>
      <c r="M349" t="s">
        <v>1854</v>
      </c>
      <c r="N349" t="str">
        <f>"418.0078/5"</f>
        <v>418.0078/5</v>
      </c>
      <c r="O349" t="s">
        <v>1855</v>
      </c>
      <c r="P349" t="b">
        <v>0</v>
      </c>
      <c r="R349" t="str">
        <f>"9789027257512"</f>
        <v>9789027257512</v>
      </c>
      <c r="S349" t="str">
        <f>"9789027266989"</f>
        <v>9789027266989</v>
      </c>
      <c r="T349">
        <v>950084371</v>
      </c>
    </row>
    <row r="350" spans="1:20" x14ac:dyDescent="0.25">
      <c r="A350">
        <v>1246757</v>
      </c>
      <c r="B350" t="s">
        <v>1856</v>
      </c>
      <c r="D350" t="s">
        <v>1857</v>
      </c>
      <c r="E350" t="s">
        <v>1857</v>
      </c>
      <c r="F350">
        <v>2016</v>
      </c>
      <c r="G350" t="s">
        <v>172</v>
      </c>
      <c r="H350" t="s">
        <v>1858</v>
      </c>
      <c r="I350" t="s">
        <v>1859</v>
      </c>
      <c r="J350" t="s">
        <v>26</v>
      </c>
      <c r="K350" t="s">
        <v>27</v>
      </c>
      <c r="L350" t="b">
        <v>1</v>
      </c>
      <c r="M350" t="s">
        <v>1860</v>
      </c>
      <c r="N350" t="str">
        <f>"651"</f>
        <v>651</v>
      </c>
      <c r="P350" t="b">
        <v>0</v>
      </c>
      <c r="Q350" t="b">
        <v>1</v>
      </c>
      <c r="R350" t="str">
        <f>"9781471862441"</f>
        <v>9781471862441</v>
      </c>
      <c r="S350" t="str">
        <f>"9781471862397"</f>
        <v>9781471862397</v>
      </c>
      <c r="T350">
        <v>953142902</v>
      </c>
    </row>
    <row r="351" spans="1:20" x14ac:dyDescent="0.25">
      <c r="A351">
        <v>1240304</v>
      </c>
      <c r="B351" t="s">
        <v>1861</v>
      </c>
      <c r="C351" t="s">
        <v>1862</v>
      </c>
      <c r="D351" t="s">
        <v>123</v>
      </c>
      <c r="E351" t="s">
        <v>219</v>
      </c>
      <c r="F351">
        <v>2016</v>
      </c>
      <c r="G351" t="s">
        <v>1863</v>
      </c>
      <c r="H351" t="s">
        <v>1864</v>
      </c>
      <c r="I351" t="s">
        <v>1865</v>
      </c>
      <c r="J351" t="s">
        <v>26</v>
      </c>
      <c r="K351" t="s">
        <v>48</v>
      </c>
      <c r="L351" t="b">
        <v>1</v>
      </c>
      <c r="M351" t="s">
        <v>1866</v>
      </c>
      <c r="N351" t="str">
        <f>"294.3/4442"</f>
        <v>294.3/4442</v>
      </c>
      <c r="P351" t="b">
        <v>0</v>
      </c>
      <c r="Q351" t="b">
        <v>0</v>
      </c>
      <c r="R351" t="str">
        <f>"9781614291190"</f>
        <v>9781614291190</v>
      </c>
      <c r="S351" t="str">
        <f>"9781614291428"</f>
        <v>9781614291428</v>
      </c>
      <c r="T351">
        <v>950460150</v>
      </c>
    </row>
    <row r="352" spans="1:20" x14ac:dyDescent="0.25">
      <c r="A352">
        <v>1240299</v>
      </c>
      <c r="B352" t="s">
        <v>1867</v>
      </c>
      <c r="D352" t="s">
        <v>107</v>
      </c>
      <c r="E352" t="s">
        <v>108</v>
      </c>
      <c r="F352">
        <v>2016</v>
      </c>
      <c r="G352" t="s">
        <v>57</v>
      </c>
      <c r="H352" t="s">
        <v>1868</v>
      </c>
      <c r="I352" t="s">
        <v>1869</v>
      </c>
      <c r="J352" t="s">
        <v>26</v>
      </c>
      <c r="K352" t="s">
        <v>27</v>
      </c>
      <c r="L352" t="b">
        <v>1</v>
      </c>
      <c r="M352" t="s">
        <v>1870</v>
      </c>
      <c r="N352" t="str">
        <f>"363.34/525"</f>
        <v>363.34/525</v>
      </c>
      <c r="P352" t="b">
        <v>0</v>
      </c>
      <c r="Q352" t="b">
        <v>0</v>
      </c>
      <c r="R352" t="str">
        <f>"9781780460123"</f>
        <v>9781780460123</v>
      </c>
      <c r="S352" t="str">
        <f>"9781780465555"</f>
        <v>9781780465555</v>
      </c>
      <c r="T352">
        <v>953885034</v>
      </c>
    </row>
    <row r="353" spans="1:20" x14ac:dyDescent="0.25">
      <c r="A353">
        <v>1240297</v>
      </c>
      <c r="B353" t="s">
        <v>1871</v>
      </c>
      <c r="C353" t="s">
        <v>1872</v>
      </c>
      <c r="D353" t="s">
        <v>107</v>
      </c>
      <c r="E353" t="s">
        <v>108</v>
      </c>
      <c r="F353">
        <v>2016</v>
      </c>
      <c r="G353" t="s">
        <v>1873</v>
      </c>
      <c r="H353" t="s">
        <v>1874</v>
      </c>
      <c r="I353" t="s">
        <v>1875</v>
      </c>
      <c r="J353" t="s">
        <v>26</v>
      </c>
      <c r="K353" t="s">
        <v>86</v>
      </c>
      <c r="L353" t="b">
        <v>1</v>
      </c>
      <c r="M353" t="s">
        <v>1876</v>
      </c>
      <c r="N353" t="str">
        <f>"361.32"</f>
        <v>361.32</v>
      </c>
      <c r="O353" t="s">
        <v>808</v>
      </c>
      <c r="P353" t="b">
        <v>0</v>
      </c>
      <c r="Q353" t="b">
        <v>0</v>
      </c>
      <c r="R353" t="str">
        <f>"9781780460529"</f>
        <v>9781780460529</v>
      </c>
      <c r="S353" t="str">
        <f>"9781780465579"</f>
        <v>9781780465579</v>
      </c>
      <c r="T353">
        <v>951527788</v>
      </c>
    </row>
    <row r="354" spans="1:20" x14ac:dyDescent="0.25">
      <c r="A354">
        <v>1236261</v>
      </c>
      <c r="B354" t="s">
        <v>1877</v>
      </c>
      <c r="D354" t="s">
        <v>131</v>
      </c>
      <c r="E354" t="s">
        <v>1878</v>
      </c>
      <c r="F354">
        <v>2016</v>
      </c>
      <c r="G354" t="s">
        <v>1879</v>
      </c>
      <c r="H354" t="s">
        <v>1880</v>
      </c>
      <c r="I354" t="s">
        <v>1881</v>
      </c>
      <c r="J354" t="s">
        <v>26</v>
      </c>
      <c r="K354" t="s">
        <v>86</v>
      </c>
      <c r="L354" t="b">
        <v>1</v>
      </c>
      <c r="M354" t="s">
        <v>1882</v>
      </c>
      <c r="N354" t="str">
        <f>"843/.92"</f>
        <v>843/.92</v>
      </c>
      <c r="P354" t="b">
        <v>1</v>
      </c>
      <c r="Q354" t="b">
        <v>0</v>
      </c>
      <c r="R354" t="str">
        <f>"9781941920329"</f>
        <v>9781941920329</v>
      </c>
      <c r="S354" t="str">
        <f>"9781941920336"</f>
        <v>9781941920336</v>
      </c>
      <c r="T354">
        <v>948780957</v>
      </c>
    </row>
    <row r="355" spans="1:20" x14ac:dyDescent="0.25">
      <c r="A355">
        <v>1236233</v>
      </c>
      <c r="B355" t="s">
        <v>1883</v>
      </c>
      <c r="C355" t="s">
        <v>1884</v>
      </c>
      <c r="D355" t="s">
        <v>131</v>
      </c>
      <c r="E355" t="s">
        <v>1885</v>
      </c>
      <c r="F355">
        <v>2016</v>
      </c>
      <c r="G355" t="s">
        <v>1886</v>
      </c>
      <c r="H355" t="s">
        <v>1887</v>
      </c>
      <c r="I355" t="s">
        <v>1888</v>
      </c>
      <c r="J355" t="s">
        <v>26</v>
      </c>
      <c r="K355" t="s">
        <v>86</v>
      </c>
      <c r="L355" t="b">
        <v>1</v>
      </c>
      <c r="M355" t="s">
        <v>1889</v>
      </c>
      <c r="N355" t="str">
        <f>"970.004/97"</f>
        <v>970.004/97</v>
      </c>
      <c r="P355" t="b">
        <v>0</v>
      </c>
      <c r="Q355" t="b">
        <v>0</v>
      </c>
      <c r="R355" t="str">
        <f>"9781578595075"</f>
        <v>9781578595075</v>
      </c>
      <c r="S355" t="str">
        <f>"9781578596072"</f>
        <v>9781578596072</v>
      </c>
      <c r="T355">
        <v>946931890</v>
      </c>
    </row>
    <row r="356" spans="1:20" x14ac:dyDescent="0.25">
      <c r="A356">
        <v>1233347</v>
      </c>
      <c r="B356" t="s">
        <v>1890</v>
      </c>
      <c r="C356" t="s">
        <v>1891</v>
      </c>
      <c r="D356" t="s">
        <v>131</v>
      </c>
      <c r="E356" t="s">
        <v>1892</v>
      </c>
      <c r="F356">
        <v>2016</v>
      </c>
      <c r="G356" t="s">
        <v>1893</v>
      </c>
      <c r="H356" t="s">
        <v>1894</v>
      </c>
      <c r="I356" t="s">
        <v>1895</v>
      </c>
      <c r="J356" t="s">
        <v>26</v>
      </c>
      <c r="K356" t="s">
        <v>48</v>
      </c>
      <c r="L356" t="b">
        <v>1</v>
      </c>
      <c r="M356" t="s">
        <v>1896</v>
      </c>
      <c r="N356" t="str">
        <f>"796.5223"</f>
        <v>796.5223</v>
      </c>
      <c r="P356" t="b">
        <v>0</v>
      </c>
      <c r="Q356" t="b">
        <v>0</v>
      </c>
      <c r="R356" t="str">
        <f>"9781930238633"</f>
        <v>9781930238633</v>
      </c>
      <c r="S356" t="str">
        <f>"9781930238695"</f>
        <v>9781930238695</v>
      </c>
      <c r="T356">
        <v>947083835</v>
      </c>
    </row>
    <row r="357" spans="1:20" x14ac:dyDescent="0.25">
      <c r="A357">
        <v>1233278</v>
      </c>
      <c r="B357" t="s">
        <v>1897</v>
      </c>
      <c r="C357" t="s">
        <v>1898</v>
      </c>
      <c r="D357" t="s">
        <v>123</v>
      </c>
      <c r="E357" t="s">
        <v>1899</v>
      </c>
      <c r="F357">
        <v>2016</v>
      </c>
      <c r="G357" t="s">
        <v>1900</v>
      </c>
      <c r="H357" t="s">
        <v>1901</v>
      </c>
      <c r="I357" t="s">
        <v>1902</v>
      </c>
      <c r="J357" t="s">
        <v>26</v>
      </c>
      <c r="K357" t="s">
        <v>48</v>
      </c>
      <c r="L357" t="b">
        <v>1</v>
      </c>
      <c r="M357" t="s">
        <v>1903</v>
      </c>
      <c r="N357" t="str">
        <f>"371.782"</f>
        <v>371.782</v>
      </c>
      <c r="P357" t="b">
        <v>0</v>
      </c>
      <c r="Q357" t="b">
        <v>0</v>
      </c>
      <c r="R357" t="str">
        <f>"9781510705746"</f>
        <v>9781510705746</v>
      </c>
      <c r="S357" t="str">
        <f>"9781510705784"</f>
        <v>9781510705784</v>
      </c>
      <c r="T357">
        <v>949931491</v>
      </c>
    </row>
    <row r="358" spans="1:20" x14ac:dyDescent="0.25">
      <c r="A358">
        <v>1233257</v>
      </c>
      <c r="B358" t="s">
        <v>1904</v>
      </c>
      <c r="C358" t="s">
        <v>1905</v>
      </c>
      <c r="D358" t="s">
        <v>123</v>
      </c>
      <c r="E358" t="s">
        <v>124</v>
      </c>
      <c r="F358">
        <v>2016</v>
      </c>
      <c r="G358" t="s">
        <v>695</v>
      </c>
      <c r="H358" t="s">
        <v>1906</v>
      </c>
      <c r="I358" t="s">
        <v>1907</v>
      </c>
      <c r="J358" t="s">
        <v>26</v>
      </c>
      <c r="K358" t="s">
        <v>48</v>
      </c>
      <c r="L358" t="b">
        <v>1</v>
      </c>
      <c r="M358" t="s">
        <v>1908</v>
      </c>
      <c r="N358" t="str">
        <f>"782.42164092/2"</f>
        <v>782.42164092/2</v>
      </c>
      <c r="P358" t="b">
        <v>0</v>
      </c>
      <c r="Q358" t="b">
        <v>0</v>
      </c>
      <c r="R358" t="str">
        <f>"9781510703629"</f>
        <v>9781510703629</v>
      </c>
      <c r="S358" t="str">
        <f>"9781510703711"</f>
        <v>9781510703711</v>
      </c>
      <c r="T358">
        <v>947045322</v>
      </c>
    </row>
    <row r="359" spans="1:20" x14ac:dyDescent="0.25">
      <c r="A359">
        <v>1233233</v>
      </c>
      <c r="B359" t="s">
        <v>1909</v>
      </c>
      <c r="D359" t="s">
        <v>123</v>
      </c>
      <c r="E359" t="s">
        <v>1713</v>
      </c>
      <c r="F359">
        <v>2016</v>
      </c>
      <c r="G359" t="s">
        <v>1910</v>
      </c>
      <c r="H359" t="s">
        <v>1911</v>
      </c>
      <c r="I359" t="s">
        <v>1912</v>
      </c>
      <c r="J359" t="s">
        <v>26</v>
      </c>
      <c r="K359" t="s">
        <v>48</v>
      </c>
      <c r="L359" t="b">
        <v>1</v>
      </c>
      <c r="M359" t="s">
        <v>1913</v>
      </c>
      <c r="N359" t="str">
        <f>"791.069"</f>
        <v>791.069</v>
      </c>
      <c r="P359" t="b">
        <v>0</v>
      </c>
      <c r="Q359" t="b">
        <v>0</v>
      </c>
      <c r="R359" t="str">
        <f>"9781621535126"</f>
        <v>9781621535126</v>
      </c>
      <c r="S359" t="str">
        <f>"9781621535188"</f>
        <v>9781621535188</v>
      </c>
      <c r="T359">
        <v>948780989</v>
      </c>
    </row>
    <row r="360" spans="1:20" x14ac:dyDescent="0.25">
      <c r="A360">
        <v>1233227</v>
      </c>
      <c r="B360" t="s">
        <v>1914</v>
      </c>
      <c r="C360" t="s">
        <v>1915</v>
      </c>
      <c r="D360" t="s">
        <v>123</v>
      </c>
      <c r="E360" t="s">
        <v>1713</v>
      </c>
      <c r="F360">
        <v>2016</v>
      </c>
      <c r="G360" t="s">
        <v>1522</v>
      </c>
      <c r="H360" t="s">
        <v>1916</v>
      </c>
      <c r="I360" t="s">
        <v>1917</v>
      </c>
      <c r="J360" t="s">
        <v>26</v>
      </c>
      <c r="K360" t="s">
        <v>48</v>
      </c>
      <c r="L360" t="b">
        <v>1</v>
      </c>
      <c r="M360" t="s">
        <v>1918</v>
      </c>
      <c r="N360" t="str">
        <f>"346.0482"</f>
        <v>346.0482</v>
      </c>
      <c r="P360" t="b">
        <v>0</v>
      </c>
      <c r="Q360" t="b">
        <v>0</v>
      </c>
      <c r="R360" t="str">
        <f>"9781621534853"</f>
        <v>9781621534853</v>
      </c>
      <c r="S360" t="str">
        <f>"9781621534952"</f>
        <v>9781621534952</v>
      </c>
      <c r="T360">
        <v>945550204</v>
      </c>
    </row>
    <row r="361" spans="1:20" x14ac:dyDescent="0.25">
      <c r="A361">
        <v>1233211</v>
      </c>
      <c r="B361" t="s">
        <v>1919</v>
      </c>
      <c r="C361" t="s">
        <v>1920</v>
      </c>
      <c r="D361" t="s">
        <v>123</v>
      </c>
      <c r="E361" t="s">
        <v>124</v>
      </c>
      <c r="F361">
        <v>2016</v>
      </c>
      <c r="G361" t="s">
        <v>1921</v>
      </c>
      <c r="H361" t="s">
        <v>1922</v>
      </c>
      <c r="I361" t="s">
        <v>1923</v>
      </c>
      <c r="J361" t="s">
        <v>26</v>
      </c>
      <c r="K361" t="s">
        <v>48</v>
      </c>
      <c r="L361" t="b">
        <v>1</v>
      </c>
      <c r="M361" t="s">
        <v>1924</v>
      </c>
      <c r="N361" t="str">
        <f>"371.4"</f>
        <v>371.4</v>
      </c>
      <c r="P361" t="b">
        <v>0</v>
      </c>
      <c r="Q361" t="b">
        <v>0</v>
      </c>
      <c r="R361" t="str">
        <f>"9781634507783"</f>
        <v>9781634507783</v>
      </c>
      <c r="S361" t="str">
        <f>"9781634507899"</f>
        <v>9781634507899</v>
      </c>
      <c r="T361">
        <v>956121665</v>
      </c>
    </row>
    <row r="362" spans="1:20" x14ac:dyDescent="0.25">
      <c r="A362">
        <v>1233168</v>
      </c>
      <c r="B362" t="s">
        <v>1925</v>
      </c>
      <c r="C362" t="s">
        <v>1926</v>
      </c>
      <c r="D362" t="s">
        <v>123</v>
      </c>
      <c r="E362" t="s">
        <v>1927</v>
      </c>
      <c r="F362">
        <v>2016</v>
      </c>
      <c r="G362" t="s">
        <v>1928</v>
      </c>
      <c r="H362" t="s">
        <v>1929</v>
      </c>
      <c r="I362" t="s">
        <v>1930</v>
      </c>
      <c r="J362" t="s">
        <v>26</v>
      </c>
      <c r="K362" t="s">
        <v>48</v>
      </c>
      <c r="L362" t="b">
        <v>1</v>
      </c>
      <c r="M362" t="s">
        <v>1931</v>
      </c>
      <c r="N362" t="str">
        <f>"347.73035092"</f>
        <v>347.73035092</v>
      </c>
      <c r="P362" t="b">
        <v>0</v>
      </c>
      <c r="Q362" t="b">
        <v>0</v>
      </c>
      <c r="R362" t="str">
        <f>"9781621575221"</f>
        <v>9781621575221</v>
      </c>
      <c r="S362" t="str">
        <f>"9781621575337"</f>
        <v>9781621575337</v>
      </c>
      <c r="T362">
        <v>953197468</v>
      </c>
    </row>
    <row r="363" spans="1:20" x14ac:dyDescent="0.25">
      <c r="A363">
        <v>1233127</v>
      </c>
      <c r="B363" t="s">
        <v>1932</v>
      </c>
      <c r="C363" t="s">
        <v>1933</v>
      </c>
      <c r="D363" t="s">
        <v>131</v>
      </c>
      <c r="E363" t="s">
        <v>552</v>
      </c>
      <c r="F363">
        <v>2016</v>
      </c>
      <c r="G363" t="s">
        <v>1681</v>
      </c>
      <c r="H363" t="s">
        <v>1934</v>
      </c>
      <c r="I363" t="s">
        <v>1935</v>
      </c>
      <c r="J363" t="s">
        <v>26</v>
      </c>
      <c r="K363" t="s">
        <v>86</v>
      </c>
      <c r="L363" t="b">
        <v>1</v>
      </c>
      <c r="M363" t="s">
        <v>1936</v>
      </c>
      <c r="N363" t="str">
        <f>"333.72"</f>
        <v>333.72</v>
      </c>
      <c r="P363" t="b">
        <v>0</v>
      </c>
      <c r="Q363" t="b">
        <v>0</v>
      </c>
      <c r="R363" t="str">
        <f>"9781780748757"</f>
        <v>9781780748757</v>
      </c>
      <c r="S363" t="str">
        <f>"9781780748764"</f>
        <v>9781780748764</v>
      </c>
      <c r="T363">
        <v>951974975</v>
      </c>
    </row>
    <row r="364" spans="1:20" x14ac:dyDescent="0.25">
      <c r="A364">
        <v>1233126</v>
      </c>
      <c r="B364" t="s">
        <v>1937</v>
      </c>
      <c r="C364" t="s">
        <v>1938</v>
      </c>
      <c r="D364" t="s">
        <v>131</v>
      </c>
      <c r="E364" t="s">
        <v>552</v>
      </c>
      <c r="F364">
        <v>2016</v>
      </c>
      <c r="G364" t="s">
        <v>1939</v>
      </c>
      <c r="H364" t="s">
        <v>1940</v>
      </c>
      <c r="I364" t="s">
        <v>1941</v>
      </c>
      <c r="J364" t="s">
        <v>26</v>
      </c>
      <c r="K364" t="s">
        <v>86</v>
      </c>
      <c r="L364" t="b">
        <v>1</v>
      </c>
      <c r="M364" t="s">
        <v>1942</v>
      </c>
      <c r="N364" t="str">
        <f>"780.9/22"</f>
        <v>780.9/22</v>
      </c>
      <c r="P364" t="b">
        <v>0</v>
      </c>
      <c r="Q364" t="b">
        <v>0</v>
      </c>
      <c r="R364" t="str">
        <f>"9781780748566"</f>
        <v>9781780748566</v>
      </c>
      <c r="S364" t="str">
        <f>"9781780748573"</f>
        <v>9781780748573</v>
      </c>
      <c r="T364">
        <v>948039267</v>
      </c>
    </row>
    <row r="365" spans="1:20" x14ac:dyDescent="0.25">
      <c r="A365">
        <v>1233123</v>
      </c>
      <c r="B365" t="s">
        <v>1943</v>
      </c>
      <c r="C365" t="s">
        <v>1944</v>
      </c>
      <c r="D365" t="s">
        <v>131</v>
      </c>
      <c r="E365" t="s">
        <v>552</v>
      </c>
      <c r="F365">
        <v>2016</v>
      </c>
      <c r="G365" t="s">
        <v>1945</v>
      </c>
      <c r="H365" t="s">
        <v>1946</v>
      </c>
      <c r="I365" t="s">
        <v>1947</v>
      </c>
      <c r="J365" t="s">
        <v>26</v>
      </c>
      <c r="K365" t="s">
        <v>86</v>
      </c>
      <c r="L365" t="b">
        <v>1</v>
      </c>
      <c r="M365" t="s">
        <v>1948</v>
      </c>
      <c r="N365" t="str">
        <f>"340/.115"</f>
        <v>340/.115</v>
      </c>
      <c r="P365" t="b">
        <v>0</v>
      </c>
      <c r="Q365" t="b">
        <v>0</v>
      </c>
      <c r="R365" t="str">
        <f>"9781780747613"</f>
        <v>9781780747613</v>
      </c>
      <c r="S365" t="str">
        <f>"9781780747620"</f>
        <v>9781780747620</v>
      </c>
      <c r="T365">
        <v>951623708</v>
      </c>
    </row>
    <row r="366" spans="1:20" x14ac:dyDescent="0.25">
      <c r="A366">
        <v>1233121</v>
      </c>
      <c r="B366" t="s">
        <v>1949</v>
      </c>
      <c r="D366" t="s">
        <v>131</v>
      </c>
      <c r="E366" t="s">
        <v>552</v>
      </c>
      <c r="F366">
        <v>2016</v>
      </c>
      <c r="G366" t="s">
        <v>1950</v>
      </c>
      <c r="H366" t="s">
        <v>1951</v>
      </c>
      <c r="I366" t="s">
        <v>1952</v>
      </c>
      <c r="J366" t="s">
        <v>26</v>
      </c>
      <c r="K366" t="s">
        <v>86</v>
      </c>
      <c r="L366" t="b">
        <v>1</v>
      </c>
      <c r="M366" t="s">
        <v>1953</v>
      </c>
      <c r="N366" t="str">
        <f>"180"</f>
        <v>180</v>
      </c>
      <c r="P366" t="b">
        <v>0</v>
      </c>
      <c r="Q366" t="b">
        <v>0</v>
      </c>
      <c r="R366" t="str">
        <f>"9781780743417"</f>
        <v>9781780743417</v>
      </c>
      <c r="S366" t="str">
        <f>"9781780743424"</f>
        <v>9781780743424</v>
      </c>
      <c r="T366">
        <v>951974974</v>
      </c>
    </row>
    <row r="367" spans="1:20" x14ac:dyDescent="0.25">
      <c r="A367">
        <v>1233097</v>
      </c>
      <c r="B367" t="s">
        <v>1954</v>
      </c>
      <c r="C367" t="s">
        <v>1955</v>
      </c>
      <c r="D367" t="s">
        <v>1151</v>
      </c>
      <c r="E367" t="s">
        <v>1956</v>
      </c>
      <c r="F367">
        <v>2016</v>
      </c>
      <c r="G367" t="s">
        <v>1607</v>
      </c>
      <c r="H367" t="s">
        <v>1957</v>
      </c>
      <c r="I367" t="s">
        <v>1958</v>
      </c>
      <c r="J367" t="s">
        <v>26</v>
      </c>
      <c r="K367" t="s">
        <v>86</v>
      </c>
      <c r="L367" t="b">
        <v>1</v>
      </c>
      <c r="M367" t="s">
        <v>1959</v>
      </c>
      <c r="N367" t="str">
        <f>"303.48/3"</f>
        <v>303.48/3</v>
      </c>
      <c r="P367" t="b">
        <v>0</v>
      </c>
      <c r="Q367" t="b">
        <v>0</v>
      </c>
      <c r="R367" t="str">
        <f>"9780865718258"</f>
        <v>9780865718258</v>
      </c>
      <c r="S367" t="str">
        <f>"9781550926194"</f>
        <v>9781550926194</v>
      </c>
      <c r="T367">
        <v>935756201</v>
      </c>
    </row>
    <row r="368" spans="1:20" x14ac:dyDescent="0.25">
      <c r="A368">
        <v>1232696</v>
      </c>
      <c r="B368" t="s">
        <v>1960</v>
      </c>
      <c r="C368" t="s">
        <v>1961</v>
      </c>
      <c r="D368" t="s">
        <v>233</v>
      </c>
      <c r="E368" t="s">
        <v>234</v>
      </c>
      <c r="F368">
        <v>2016</v>
      </c>
      <c r="G368" t="s">
        <v>1962</v>
      </c>
      <c r="H368" t="s">
        <v>1963</v>
      </c>
      <c r="I368" t="s">
        <v>1964</v>
      </c>
      <c r="J368" t="s">
        <v>26</v>
      </c>
      <c r="K368" t="s">
        <v>86</v>
      </c>
      <c r="L368" t="b">
        <v>1</v>
      </c>
      <c r="M368" t="s">
        <v>1965</v>
      </c>
      <c r="N368" t="str">
        <f>"956.9104/2"</f>
        <v>956.9104/2</v>
      </c>
      <c r="O368" t="s">
        <v>1966</v>
      </c>
      <c r="P368" t="b">
        <v>0</v>
      </c>
      <c r="Q368" t="b">
        <v>0</v>
      </c>
      <c r="R368" t="str">
        <f>"9780815729518"</f>
        <v>9780815729518</v>
      </c>
      <c r="S368" t="str">
        <f>"9780815729525"</f>
        <v>9780815729525</v>
      </c>
      <c r="T368">
        <v>946276928</v>
      </c>
    </row>
    <row r="369" spans="1:20" x14ac:dyDescent="0.25">
      <c r="A369">
        <v>1232668</v>
      </c>
      <c r="B369" t="s">
        <v>1967</v>
      </c>
      <c r="D369" t="s">
        <v>131</v>
      </c>
      <c r="E369" t="s">
        <v>1144</v>
      </c>
      <c r="F369">
        <v>2016</v>
      </c>
      <c r="G369" t="s">
        <v>1968</v>
      </c>
      <c r="H369" t="s">
        <v>1969</v>
      </c>
      <c r="I369" t="s">
        <v>1970</v>
      </c>
      <c r="J369" t="s">
        <v>26</v>
      </c>
      <c r="K369" t="s">
        <v>86</v>
      </c>
      <c r="L369" t="b">
        <v>1</v>
      </c>
      <c r="M369" t="s">
        <v>1971</v>
      </c>
      <c r="N369" t="str">
        <f>"810.9/005B"</f>
        <v>810.9/005B</v>
      </c>
      <c r="P369" t="b">
        <v>1</v>
      </c>
      <c r="Q369" t="b">
        <v>0</v>
      </c>
      <c r="R369" t="str">
        <f>"9781771960748"</f>
        <v>9781771960748</v>
      </c>
      <c r="S369" t="str">
        <f>"9781771960755"</f>
        <v>9781771960755</v>
      </c>
      <c r="T369">
        <v>952108497</v>
      </c>
    </row>
    <row r="370" spans="1:20" x14ac:dyDescent="0.25">
      <c r="A370">
        <v>1232666</v>
      </c>
      <c r="B370" t="s">
        <v>1972</v>
      </c>
      <c r="C370" t="s">
        <v>1973</v>
      </c>
      <c r="D370" t="s">
        <v>131</v>
      </c>
      <c r="E370" t="s">
        <v>1144</v>
      </c>
      <c r="F370">
        <v>2016</v>
      </c>
      <c r="G370" t="s">
        <v>1974</v>
      </c>
      <c r="H370" t="s">
        <v>1975</v>
      </c>
      <c r="I370" t="s">
        <v>1976</v>
      </c>
      <c r="J370" t="s">
        <v>26</v>
      </c>
      <c r="K370" t="s">
        <v>86</v>
      </c>
      <c r="L370" t="b">
        <v>1</v>
      </c>
      <c r="M370" t="s">
        <v>1977</v>
      </c>
      <c r="N370" t="str">
        <f>"780.92"</f>
        <v>780.92</v>
      </c>
      <c r="P370" t="b">
        <v>0</v>
      </c>
      <c r="Q370" t="b">
        <v>0</v>
      </c>
      <c r="R370" t="str">
        <f>"9781771960724"</f>
        <v>9781771960724</v>
      </c>
      <c r="S370" t="str">
        <f>"9781771960731"</f>
        <v>9781771960731</v>
      </c>
      <c r="T370">
        <v>928679619</v>
      </c>
    </row>
    <row r="371" spans="1:20" x14ac:dyDescent="0.25">
      <c r="A371">
        <v>1230642</v>
      </c>
      <c r="B371" t="s">
        <v>1978</v>
      </c>
      <c r="C371" t="s">
        <v>1979</v>
      </c>
      <c r="D371" t="s">
        <v>1980</v>
      </c>
      <c r="E371" t="s">
        <v>1980</v>
      </c>
      <c r="F371">
        <v>2016</v>
      </c>
      <c r="G371" t="s">
        <v>1981</v>
      </c>
      <c r="H371" t="s">
        <v>1982</v>
      </c>
      <c r="I371" t="s">
        <v>1983</v>
      </c>
      <c r="J371" t="s">
        <v>26</v>
      </c>
      <c r="K371" t="s">
        <v>86</v>
      </c>
      <c r="L371" t="b">
        <v>1</v>
      </c>
      <c r="M371" t="s">
        <v>1984</v>
      </c>
      <c r="N371" t="str">
        <f>"658.8/72"</f>
        <v>658.8/72</v>
      </c>
      <c r="P371" t="b">
        <v>0</v>
      </c>
      <c r="R371" t="str">
        <f>"9780749474706"</f>
        <v>9780749474706</v>
      </c>
      <c r="S371" t="str">
        <f>"9780749474713"</f>
        <v>9780749474713</v>
      </c>
      <c r="T371">
        <v>946032381</v>
      </c>
    </row>
    <row r="372" spans="1:20" x14ac:dyDescent="0.25">
      <c r="A372">
        <v>1221422</v>
      </c>
      <c r="B372" t="s">
        <v>1985</v>
      </c>
      <c r="C372" t="s">
        <v>1986</v>
      </c>
      <c r="D372" t="s">
        <v>1032</v>
      </c>
      <c r="E372" t="s">
        <v>1033</v>
      </c>
      <c r="F372">
        <v>2008</v>
      </c>
      <c r="G372" t="s">
        <v>1034</v>
      </c>
      <c r="H372" t="s">
        <v>1987</v>
      </c>
      <c r="I372" t="s">
        <v>1988</v>
      </c>
      <c r="J372" t="s">
        <v>26</v>
      </c>
      <c r="K372" t="s">
        <v>27</v>
      </c>
      <c r="L372" t="b">
        <v>1</v>
      </c>
      <c r="M372" t="s">
        <v>1989</v>
      </c>
      <c r="N372" t="str">
        <f>"294.5/92304521"</f>
        <v>294.5/92304521</v>
      </c>
      <c r="O372" t="s">
        <v>1990</v>
      </c>
      <c r="P372" t="b">
        <v>1</v>
      </c>
      <c r="R372" t="str">
        <f>"9780814716960"</f>
        <v>9780814716960</v>
      </c>
      <c r="S372" t="str">
        <f>"9781479882687"</f>
        <v>9781479882687</v>
      </c>
      <c r="T372">
        <v>1006637720</v>
      </c>
    </row>
    <row r="373" spans="1:20" x14ac:dyDescent="0.25">
      <c r="A373">
        <v>1221418</v>
      </c>
      <c r="B373" t="s">
        <v>1991</v>
      </c>
      <c r="D373" t="s">
        <v>1032</v>
      </c>
      <c r="E373" t="s">
        <v>1033</v>
      </c>
      <c r="F373">
        <v>2009</v>
      </c>
      <c r="G373" t="s">
        <v>1034</v>
      </c>
      <c r="H373" t="s">
        <v>1992</v>
      </c>
      <c r="J373" t="s">
        <v>26</v>
      </c>
      <c r="K373" t="s">
        <v>27</v>
      </c>
      <c r="L373" t="b">
        <v>1</v>
      </c>
      <c r="M373" t="s">
        <v>1993</v>
      </c>
      <c r="N373" t="str">
        <f>"891.2/1"</f>
        <v>891.2/1</v>
      </c>
      <c r="O373" t="s">
        <v>1052</v>
      </c>
      <c r="P373" t="b">
        <v>1</v>
      </c>
      <c r="R373" t="str">
        <f>"9780814727782"</f>
        <v>9780814727782</v>
      </c>
      <c r="S373" t="str">
        <f>"9780814725092"</f>
        <v>9780814725092</v>
      </c>
      <c r="T373">
        <v>1006637955</v>
      </c>
    </row>
    <row r="374" spans="1:20" x14ac:dyDescent="0.25">
      <c r="A374">
        <v>1221417</v>
      </c>
      <c r="B374" t="s">
        <v>1994</v>
      </c>
      <c r="D374" t="s">
        <v>1032</v>
      </c>
      <c r="E374" t="s">
        <v>1033</v>
      </c>
      <c r="F374">
        <v>2009</v>
      </c>
      <c r="G374" t="s">
        <v>1034</v>
      </c>
      <c r="H374" t="s">
        <v>1995</v>
      </c>
      <c r="I374" t="s">
        <v>1050</v>
      </c>
      <c r="J374" t="s">
        <v>26</v>
      </c>
      <c r="K374" t="s">
        <v>27</v>
      </c>
      <c r="L374" t="b">
        <v>1</v>
      </c>
      <c r="M374" t="s">
        <v>1996</v>
      </c>
      <c r="N374" t="str">
        <f>"891/.2208"</f>
        <v>891/.2208</v>
      </c>
      <c r="O374" t="s">
        <v>1052</v>
      </c>
      <c r="P374" t="b">
        <v>1</v>
      </c>
      <c r="R374" t="str">
        <f>"9780814740668"</f>
        <v>9780814740668</v>
      </c>
      <c r="S374" t="str">
        <f>"9781479865994"</f>
        <v>9781479865994</v>
      </c>
      <c r="T374">
        <v>681294340</v>
      </c>
    </row>
    <row r="375" spans="1:20" x14ac:dyDescent="0.25">
      <c r="A375">
        <v>1217417</v>
      </c>
      <c r="B375" t="s">
        <v>1997</v>
      </c>
      <c r="C375" t="s">
        <v>1998</v>
      </c>
      <c r="D375" t="s">
        <v>1999</v>
      </c>
      <c r="E375" t="s">
        <v>1999</v>
      </c>
      <c r="F375">
        <v>2013</v>
      </c>
      <c r="G375" t="s">
        <v>2000</v>
      </c>
      <c r="H375" t="s">
        <v>2001</v>
      </c>
      <c r="I375" t="s">
        <v>2002</v>
      </c>
      <c r="J375" t="s">
        <v>26</v>
      </c>
      <c r="K375" t="s">
        <v>27</v>
      </c>
      <c r="L375" t="b">
        <v>1</v>
      </c>
      <c r="M375" t="s">
        <v>2003</v>
      </c>
      <c r="N375" t="str">
        <f>"616.891"</f>
        <v>616.891</v>
      </c>
      <c r="O375" t="s">
        <v>2004</v>
      </c>
      <c r="P375" t="b">
        <v>0</v>
      </c>
      <c r="R375" t="str">
        <f>"9781581107500"</f>
        <v>9781581107500</v>
      </c>
      <c r="S375" t="str">
        <f>"9781581108088"</f>
        <v>9781581108088</v>
      </c>
      <c r="T375">
        <v>880459194</v>
      </c>
    </row>
    <row r="376" spans="1:20" x14ac:dyDescent="0.25">
      <c r="A376">
        <v>1217250</v>
      </c>
      <c r="B376" t="s">
        <v>2005</v>
      </c>
      <c r="C376" t="s">
        <v>2006</v>
      </c>
      <c r="D376" t="s">
        <v>1364</v>
      </c>
      <c r="E376" t="s">
        <v>1364</v>
      </c>
      <c r="F376">
        <v>2016</v>
      </c>
      <c r="G376" t="s">
        <v>2007</v>
      </c>
      <c r="H376" t="s">
        <v>2008</v>
      </c>
      <c r="I376" t="s">
        <v>2009</v>
      </c>
      <c r="J376" t="s">
        <v>26</v>
      </c>
      <c r="K376" t="s">
        <v>86</v>
      </c>
      <c r="L376" t="b">
        <v>1</v>
      </c>
      <c r="M376" t="s">
        <v>2010</v>
      </c>
      <c r="N376" t="str">
        <f>"261.2/6"</f>
        <v>261.2/6</v>
      </c>
      <c r="O376" t="s">
        <v>2011</v>
      </c>
      <c r="P376" t="b">
        <v>0</v>
      </c>
      <c r="R376" t="str">
        <f>"9783110416473"</f>
        <v>9783110416473</v>
      </c>
      <c r="S376" t="str">
        <f>"9783110416596"</f>
        <v>9783110416596</v>
      </c>
      <c r="T376">
        <v>949749426</v>
      </c>
    </row>
    <row r="377" spans="1:20" x14ac:dyDescent="0.25">
      <c r="A377">
        <v>1212467</v>
      </c>
      <c r="B377" t="s">
        <v>2012</v>
      </c>
      <c r="D377" t="s">
        <v>2013</v>
      </c>
      <c r="E377" t="s">
        <v>2013</v>
      </c>
      <c r="F377">
        <v>2016</v>
      </c>
      <c r="G377" t="s">
        <v>2014</v>
      </c>
      <c r="H377" t="s">
        <v>2015</v>
      </c>
      <c r="I377" t="s">
        <v>2016</v>
      </c>
      <c r="J377" t="s">
        <v>26</v>
      </c>
      <c r="K377" t="s">
        <v>27</v>
      </c>
      <c r="L377" t="b">
        <v>1</v>
      </c>
      <c r="M377" t="s">
        <v>2017</v>
      </c>
      <c r="N377" t="str">
        <f>"184"</f>
        <v>184</v>
      </c>
      <c r="O377" t="s">
        <v>2018</v>
      </c>
      <c r="P377" t="b">
        <v>0</v>
      </c>
      <c r="Q377" t="b">
        <v>0</v>
      </c>
      <c r="R377" t="str">
        <f>"9789462700598"</f>
        <v>9789462700598</v>
      </c>
      <c r="S377" t="str">
        <f>"9789461661951"</f>
        <v>9789461661951</v>
      </c>
      <c r="T377">
        <v>945662549</v>
      </c>
    </row>
    <row r="378" spans="1:20" x14ac:dyDescent="0.25">
      <c r="A378">
        <v>1197773</v>
      </c>
      <c r="B378" t="s">
        <v>2019</v>
      </c>
      <c r="D378" t="s">
        <v>2020</v>
      </c>
      <c r="E378" t="s">
        <v>2021</v>
      </c>
      <c r="F378">
        <v>2016</v>
      </c>
      <c r="G378" t="s">
        <v>2022</v>
      </c>
      <c r="H378" t="s">
        <v>2023</v>
      </c>
      <c r="I378" t="s">
        <v>2024</v>
      </c>
      <c r="J378" t="s">
        <v>26</v>
      </c>
      <c r="K378" t="s">
        <v>86</v>
      </c>
      <c r="L378" t="b">
        <v>1</v>
      </c>
      <c r="M378" t="s">
        <v>2025</v>
      </c>
      <c r="N378" t="str">
        <f>"610.73076"</f>
        <v>610.73076</v>
      </c>
      <c r="P378" t="b">
        <v>0</v>
      </c>
      <c r="R378" t="str">
        <f>"9780826137623"</f>
        <v>9780826137623</v>
      </c>
      <c r="S378" t="str">
        <f>"9780826137630"</f>
        <v>9780826137630</v>
      </c>
      <c r="T378">
        <v>944441741</v>
      </c>
    </row>
    <row r="379" spans="1:20" x14ac:dyDescent="0.25">
      <c r="A379">
        <v>1196758</v>
      </c>
      <c r="B379" t="s">
        <v>2026</v>
      </c>
      <c r="C379" t="s">
        <v>2027</v>
      </c>
      <c r="D379" t="s">
        <v>131</v>
      </c>
      <c r="E379" t="s">
        <v>263</v>
      </c>
      <c r="F379">
        <v>2016</v>
      </c>
      <c r="G379" t="s">
        <v>2028</v>
      </c>
      <c r="H379" t="s">
        <v>2029</v>
      </c>
      <c r="I379" t="s">
        <v>2030</v>
      </c>
      <c r="J379" t="s">
        <v>26</v>
      </c>
      <c r="K379" t="s">
        <v>27</v>
      </c>
      <c r="L379" t="b">
        <v>1</v>
      </c>
      <c r="M379" t="s">
        <v>2031</v>
      </c>
      <c r="N379" t="str">
        <f>"158.1280842"</f>
        <v>158.1280842</v>
      </c>
      <c r="P379" t="b">
        <v>0</v>
      </c>
      <c r="Q379" t="b">
        <v>0</v>
      </c>
      <c r="R379" t="str">
        <f>"9781612435688"</f>
        <v>9781612435688</v>
      </c>
      <c r="S379" t="str">
        <f>"9781612435794"</f>
        <v>9781612435794</v>
      </c>
      <c r="T379">
        <v>948752522</v>
      </c>
    </row>
    <row r="380" spans="1:20" x14ac:dyDescent="0.25">
      <c r="A380">
        <v>1196755</v>
      </c>
      <c r="B380" t="s">
        <v>2032</v>
      </c>
      <c r="C380" t="s">
        <v>2033</v>
      </c>
      <c r="D380" t="s">
        <v>131</v>
      </c>
      <c r="E380" t="s">
        <v>276</v>
      </c>
      <c r="F380">
        <v>2016</v>
      </c>
      <c r="G380" t="s">
        <v>577</v>
      </c>
      <c r="H380" t="s">
        <v>2034</v>
      </c>
      <c r="J380" t="s">
        <v>26</v>
      </c>
      <c r="K380" t="s">
        <v>86</v>
      </c>
      <c r="L380" t="b">
        <v>1</v>
      </c>
      <c r="M380" t="s">
        <v>2035</v>
      </c>
      <c r="N380" t="str">
        <f>"811/.54"</f>
        <v>811/.54</v>
      </c>
      <c r="P380" t="b">
        <v>0</v>
      </c>
      <c r="Q380" t="b">
        <v>0</v>
      </c>
      <c r="R380" t="str">
        <f>"9781595347688"</f>
        <v>9781595347688</v>
      </c>
      <c r="S380" t="str">
        <f>"9781595347695"</f>
        <v>9781595347695</v>
      </c>
      <c r="T380">
        <v>949988527</v>
      </c>
    </row>
    <row r="381" spans="1:20" x14ac:dyDescent="0.25">
      <c r="A381">
        <v>1196659</v>
      </c>
      <c r="B381" t="s">
        <v>2036</v>
      </c>
      <c r="C381" t="s">
        <v>2037</v>
      </c>
      <c r="D381" t="s">
        <v>123</v>
      </c>
      <c r="E381" t="s">
        <v>124</v>
      </c>
      <c r="F381">
        <v>2016</v>
      </c>
      <c r="G381" t="s">
        <v>1813</v>
      </c>
      <c r="H381" t="s">
        <v>2038</v>
      </c>
      <c r="I381" t="s">
        <v>2039</v>
      </c>
      <c r="J381" t="s">
        <v>26</v>
      </c>
      <c r="K381" t="s">
        <v>48</v>
      </c>
      <c r="L381" t="b">
        <v>1</v>
      </c>
      <c r="M381" t="s">
        <v>2040</v>
      </c>
      <c r="N381" t="str">
        <f>"741.2"</f>
        <v>741.2</v>
      </c>
      <c r="P381" t="b">
        <v>1</v>
      </c>
      <c r="Q381" t="b">
        <v>0</v>
      </c>
      <c r="R381" t="str">
        <f>"9781510700048"</f>
        <v>9781510700048</v>
      </c>
      <c r="S381" t="str">
        <f>"9781510700062"</f>
        <v>9781510700062</v>
      </c>
      <c r="T381">
        <v>945719512</v>
      </c>
    </row>
    <row r="382" spans="1:20" x14ac:dyDescent="0.25">
      <c r="A382">
        <v>1196656</v>
      </c>
      <c r="B382" t="s">
        <v>2041</v>
      </c>
      <c r="C382" t="s">
        <v>2042</v>
      </c>
      <c r="D382" t="s">
        <v>123</v>
      </c>
      <c r="E382" t="s">
        <v>1713</v>
      </c>
      <c r="F382">
        <v>2016</v>
      </c>
      <c r="G382" t="s">
        <v>2043</v>
      </c>
      <c r="H382" t="s">
        <v>2044</v>
      </c>
      <c r="I382" t="s">
        <v>2045</v>
      </c>
      <c r="J382" t="s">
        <v>26</v>
      </c>
      <c r="K382" t="s">
        <v>48</v>
      </c>
      <c r="L382" t="b">
        <v>1</v>
      </c>
      <c r="M382" t="s">
        <v>2046</v>
      </c>
      <c r="N382" t="str">
        <f>"780.905"</f>
        <v>780.905</v>
      </c>
      <c r="P382" t="b">
        <v>0</v>
      </c>
      <c r="Q382" t="b">
        <v>0</v>
      </c>
      <c r="R382" t="str">
        <f>"9781621534877"</f>
        <v>9781621534877</v>
      </c>
      <c r="S382" t="str">
        <f>"9781621534976"</f>
        <v>9781621534976</v>
      </c>
      <c r="T382">
        <v>947837263</v>
      </c>
    </row>
    <row r="383" spans="1:20" x14ac:dyDescent="0.25">
      <c r="A383">
        <v>1196062</v>
      </c>
      <c r="B383" t="s">
        <v>2047</v>
      </c>
      <c r="C383" t="s">
        <v>2048</v>
      </c>
      <c r="D383" t="s">
        <v>131</v>
      </c>
      <c r="E383" t="s">
        <v>1737</v>
      </c>
      <c r="F383">
        <v>2016</v>
      </c>
      <c r="G383" t="s">
        <v>2049</v>
      </c>
      <c r="H383" t="s">
        <v>2050</v>
      </c>
      <c r="I383" t="s">
        <v>2051</v>
      </c>
      <c r="J383" t="s">
        <v>26</v>
      </c>
      <c r="K383" t="s">
        <v>86</v>
      </c>
      <c r="L383" t="b">
        <v>1</v>
      </c>
      <c r="M383" t="s">
        <v>2052</v>
      </c>
      <c r="N383" t="str">
        <f>"155.2/32"</f>
        <v>155.2/32</v>
      </c>
      <c r="P383" t="b">
        <v>0</v>
      </c>
      <c r="Q383" t="b">
        <v>0</v>
      </c>
      <c r="R383" t="str">
        <f>"9781771641869"</f>
        <v>9781771641869</v>
      </c>
      <c r="S383" t="str">
        <f>"9781771641876"</f>
        <v>9781771641876</v>
      </c>
      <c r="T383">
        <v>936976919</v>
      </c>
    </row>
    <row r="384" spans="1:20" x14ac:dyDescent="0.25">
      <c r="A384">
        <v>1196025</v>
      </c>
      <c r="B384" t="s">
        <v>2053</v>
      </c>
      <c r="C384" t="s">
        <v>2054</v>
      </c>
      <c r="D384" t="s">
        <v>131</v>
      </c>
      <c r="E384" t="s">
        <v>552</v>
      </c>
      <c r="F384">
        <v>2016</v>
      </c>
      <c r="G384" t="s">
        <v>2055</v>
      </c>
      <c r="H384" t="s">
        <v>2056</v>
      </c>
      <c r="I384" t="s">
        <v>2057</v>
      </c>
      <c r="J384" t="s">
        <v>26</v>
      </c>
      <c r="K384" t="s">
        <v>86</v>
      </c>
      <c r="L384" t="b">
        <v>1</v>
      </c>
      <c r="M384" t="s">
        <v>2058</v>
      </c>
      <c r="N384" t="str">
        <f>"330"</f>
        <v>330</v>
      </c>
      <c r="O384" t="s">
        <v>562</v>
      </c>
      <c r="P384" t="b">
        <v>0</v>
      </c>
      <c r="Q384" t="b">
        <v>0</v>
      </c>
      <c r="R384" t="str">
        <f>"9781780746395"</f>
        <v>9781780746395</v>
      </c>
      <c r="S384" t="str">
        <f>"9781780746401"</f>
        <v>9781780746401</v>
      </c>
      <c r="T384">
        <v>953197534</v>
      </c>
    </row>
    <row r="385" spans="1:20" x14ac:dyDescent="0.25">
      <c r="A385">
        <v>1195999</v>
      </c>
      <c r="B385" t="s">
        <v>2059</v>
      </c>
      <c r="C385" t="s">
        <v>2060</v>
      </c>
      <c r="D385" t="s">
        <v>131</v>
      </c>
      <c r="E385" t="s">
        <v>552</v>
      </c>
      <c r="F385">
        <v>2016</v>
      </c>
      <c r="G385" t="s">
        <v>2061</v>
      </c>
      <c r="H385" t="s">
        <v>2062</v>
      </c>
      <c r="I385" t="s">
        <v>2063</v>
      </c>
      <c r="J385" t="s">
        <v>26</v>
      </c>
      <c r="K385" t="s">
        <v>86</v>
      </c>
      <c r="L385" t="b">
        <v>1</v>
      </c>
      <c r="M385" t="s">
        <v>2064</v>
      </c>
      <c r="N385" t="str">
        <f>"340.5"</f>
        <v>340.5</v>
      </c>
      <c r="P385" t="b">
        <v>0</v>
      </c>
      <c r="Q385" t="b">
        <v>0</v>
      </c>
      <c r="R385" t="str">
        <f>"9781780748801"</f>
        <v>9781780748801</v>
      </c>
      <c r="S385" t="str">
        <f>"9781780748818"</f>
        <v>9781780748818</v>
      </c>
      <c r="T385">
        <v>946929470</v>
      </c>
    </row>
    <row r="386" spans="1:20" x14ac:dyDescent="0.25">
      <c r="A386">
        <v>1195996</v>
      </c>
      <c r="B386" t="s">
        <v>2065</v>
      </c>
      <c r="C386" t="s">
        <v>2066</v>
      </c>
      <c r="D386" t="s">
        <v>131</v>
      </c>
      <c r="E386" t="s">
        <v>552</v>
      </c>
      <c r="F386">
        <v>2016</v>
      </c>
      <c r="G386" t="s">
        <v>645</v>
      </c>
      <c r="H386" t="s">
        <v>2067</v>
      </c>
      <c r="I386" t="s">
        <v>647</v>
      </c>
      <c r="J386" t="s">
        <v>26</v>
      </c>
      <c r="K386" t="s">
        <v>86</v>
      </c>
      <c r="L386" t="b">
        <v>1</v>
      </c>
      <c r="M386" t="s">
        <v>2068</v>
      </c>
      <c r="N386" t="str">
        <f>"941.5082/10922"</f>
        <v>941.5082/10922</v>
      </c>
      <c r="P386" t="b">
        <v>0</v>
      </c>
      <c r="Q386" t="b">
        <v>0</v>
      </c>
      <c r="R386" t="str">
        <f>"9781780748658"</f>
        <v>9781780748658</v>
      </c>
      <c r="S386" t="str">
        <f>"9781780748726"</f>
        <v>9781780748726</v>
      </c>
      <c r="T386">
        <v>947837262</v>
      </c>
    </row>
    <row r="387" spans="1:20" x14ac:dyDescent="0.25">
      <c r="A387">
        <v>1195993</v>
      </c>
      <c r="B387" t="s">
        <v>2069</v>
      </c>
      <c r="C387" t="s">
        <v>2070</v>
      </c>
      <c r="D387" t="s">
        <v>131</v>
      </c>
      <c r="E387" t="s">
        <v>552</v>
      </c>
      <c r="F387">
        <v>2016</v>
      </c>
      <c r="G387" t="s">
        <v>2071</v>
      </c>
      <c r="H387" t="s">
        <v>2072</v>
      </c>
      <c r="I387" t="s">
        <v>2073</v>
      </c>
      <c r="J387" t="s">
        <v>26</v>
      </c>
      <c r="K387" t="s">
        <v>86</v>
      </c>
      <c r="L387" t="b">
        <v>1</v>
      </c>
      <c r="M387" t="s">
        <v>2074</v>
      </c>
      <c r="N387" t="str">
        <f>"947.086/4"</f>
        <v>947.086/4</v>
      </c>
      <c r="P387" t="b">
        <v>0</v>
      </c>
      <c r="Q387" t="b">
        <v>0</v>
      </c>
      <c r="R387" t="str">
        <f>"9781780745244"</f>
        <v>9781780745244</v>
      </c>
      <c r="S387" t="str">
        <f>"9781780744322"</f>
        <v>9781780744322</v>
      </c>
      <c r="T387">
        <v>947118249</v>
      </c>
    </row>
    <row r="388" spans="1:20" x14ac:dyDescent="0.25">
      <c r="A388">
        <v>1195827</v>
      </c>
      <c r="B388" t="s">
        <v>2075</v>
      </c>
      <c r="C388" t="s">
        <v>2076</v>
      </c>
      <c r="D388" t="s">
        <v>131</v>
      </c>
      <c r="E388" t="s">
        <v>1737</v>
      </c>
      <c r="F388">
        <v>2016</v>
      </c>
      <c r="G388" t="s">
        <v>2077</v>
      </c>
      <c r="H388" t="s">
        <v>2078</v>
      </c>
      <c r="I388" t="s">
        <v>2079</v>
      </c>
      <c r="J388" t="s">
        <v>26</v>
      </c>
      <c r="K388" t="s">
        <v>86</v>
      </c>
      <c r="L388" t="b">
        <v>1</v>
      </c>
      <c r="M388" t="s">
        <v>2080</v>
      </c>
      <c r="N388" t="str">
        <f>"363.3250956"</f>
        <v>363.3250956</v>
      </c>
      <c r="P388" t="b">
        <v>0</v>
      </c>
      <c r="Q388" t="b">
        <v>0</v>
      </c>
      <c r="R388" t="str">
        <f>"9781771642248"</f>
        <v>9781771642248</v>
      </c>
      <c r="S388" t="str">
        <f>"9781771642255"</f>
        <v>9781771642255</v>
      </c>
      <c r="T388">
        <v>944379907</v>
      </c>
    </row>
    <row r="389" spans="1:20" x14ac:dyDescent="0.25">
      <c r="A389">
        <v>1195682</v>
      </c>
      <c r="B389" t="s">
        <v>2081</v>
      </c>
      <c r="C389" t="s">
        <v>2082</v>
      </c>
      <c r="D389" t="s">
        <v>233</v>
      </c>
      <c r="E389" t="s">
        <v>234</v>
      </c>
      <c r="F389">
        <v>2016</v>
      </c>
      <c r="G389" t="s">
        <v>235</v>
      </c>
      <c r="H389" t="s">
        <v>2083</v>
      </c>
      <c r="I389" t="s">
        <v>2084</v>
      </c>
      <c r="J389" t="s">
        <v>26</v>
      </c>
      <c r="K389" t="s">
        <v>86</v>
      </c>
      <c r="L389" t="b">
        <v>1</v>
      </c>
      <c r="M389" t="s">
        <v>2085</v>
      </c>
      <c r="N389" t="str">
        <f>"338.96"</f>
        <v>338.96</v>
      </c>
      <c r="P389" t="b">
        <v>0</v>
      </c>
      <c r="Q389" t="b">
        <v>0</v>
      </c>
      <c r="R389" t="str">
        <f>"9780815728153"</f>
        <v>9780815728153</v>
      </c>
      <c r="S389" t="str">
        <f>"9780815728160"</f>
        <v>9780815728160</v>
      </c>
      <c r="T389">
        <v>946724464</v>
      </c>
    </row>
    <row r="390" spans="1:20" x14ac:dyDescent="0.25">
      <c r="A390">
        <v>1195650</v>
      </c>
      <c r="B390" t="s">
        <v>2086</v>
      </c>
      <c r="D390" t="s">
        <v>131</v>
      </c>
      <c r="E390" t="s">
        <v>1144</v>
      </c>
      <c r="F390">
        <v>2015</v>
      </c>
      <c r="G390" t="s">
        <v>2087</v>
      </c>
      <c r="H390" t="s">
        <v>2088</v>
      </c>
      <c r="I390" t="s">
        <v>2089</v>
      </c>
      <c r="J390" t="s">
        <v>26</v>
      </c>
      <c r="K390" t="s">
        <v>86</v>
      </c>
      <c r="L390" t="b">
        <v>1</v>
      </c>
      <c r="M390" t="s">
        <v>2090</v>
      </c>
      <c r="N390" t="str">
        <f>"823/.914"</f>
        <v>823/.914</v>
      </c>
      <c r="P390" t="b">
        <v>1</v>
      </c>
      <c r="Q390" t="b">
        <v>0</v>
      </c>
      <c r="R390" t="str">
        <f>"9781771960380"</f>
        <v>9781771960380</v>
      </c>
      <c r="S390" t="str">
        <f>"9781771960397"</f>
        <v>9781771960397</v>
      </c>
      <c r="T390">
        <v>940564800</v>
      </c>
    </row>
    <row r="391" spans="1:20" x14ac:dyDescent="0.25">
      <c r="A391">
        <v>1195474</v>
      </c>
      <c r="B391" t="s">
        <v>2091</v>
      </c>
      <c r="D391" t="s">
        <v>1533</v>
      </c>
      <c r="E391" t="s">
        <v>1534</v>
      </c>
      <c r="F391">
        <v>2016</v>
      </c>
      <c r="G391" t="s">
        <v>100</v>
      </c>
      <c r="H391" t="s">
        <v>2092</v>
      </c>
      <c r="I391" t="s">
        <v>2093</v>
      </c>
      <c r="J391" t="s">
        <v>26</v>
      </c>
      <c r="K391" t="s">
        <v>27</v>
      </c>
      <c r="L391" t="b">
        <v>1</v>
      </c>
      <c r="M391" t="s">
        <v>2094</v>
      </c>
      <c r="N391" t="str">
        <f>"408.4/6"</f>
        <v>408.4/6</v>
      </c>
      <c r="P391" t="b">
        <v>0</v>
      </c>
      <c r="R391" t="str">
        <f>"9789027212320"</f>
        <v>9789027212320</v>
      </c>
      <c r="S391" t="str">
        <f>"9789027267313"</f>
        <v>9789027267313</v>
      </c>
      <c r="T391">
        <v>936549406</v>
      </c>
    </row>
    <row r="392" spans="1:20" x14ac:dyDescent="0.25">
      <c r="A392">
        <v>1193776</v>
      </c>
      <c r="B392" t="s">
        <v>2095</v>
      </c>
      <c r="C392" t="s">
        <v>2096</v>
      </c>
      <c r="D392" t="s">
        <v>1980</v>
      </c>
      <c r="E392" t="s">
        <v>1980</v>
      </c>
      <c r="F392">
        <v>2016</v>
      </c>
      <c r="G392" t="s">
        <v>2097</v>
      </c>
      <c r="H392" t="s">
        <v>2098</v>
      </c>
      <c r="I392" t="s">
        <v>2099</v>
      </c>
      <c r="J392" t="s">
        <v>26</v>
      </c>
      <c r="K392" t="s">
        <v>86</v>
      </c>
      <c r="L392" t="b">
        <v>1</v>
      </c>
      <c r="M392" t="s">
        <v>2100</v>
      </c>
      <c r="N392" t="str">
        <f>"658.3"</f>
        <v>658.3</v>
      </c>
      <c r="P392" t="b">
        <v>0</v>
      </c>
      <c r="R392" t="str">
        <f>"9780749473914"</f>
        <v>9780749473914</v>
      </c>
      <c r="S392" t="str">
        <f>"9780749473921"</f>
        <v>9780749473921</v>
      </c>
      <c r="T392">
        <v>942842683</v>
      </c>
    </row>
    <row r="393" spans="1:20" x14ac:dyDescent="0.25">
      <c r="A393">
        <v>1193303</v>
      </c>
      <c r="B393" t="s">
        <v>2101</v>
      </c>
      <c r="C393" t="s">
        <v>2102</v>
      </c>
      <c r="D393" t="s">
        <v>123</v>
      </c>
      <c r="E393" t="s">
        <v>219</v>
      </c>
      <c r="F393">
        <v>2010</v>
      </c>
      <c r="G393" t="s">
        <v>2103</v>
      </c>
      <c r="H393" t="s">
        <v>2104</v>
      </c>
      <c r="I393" t="s">
        <v>2105</v>
      </c>
      <c r="J393" t="s">
        <v>26</v>
      </c>
      <c r="K393" t="s">
        <v>48</v>
      </c>
      <c r="L393" t="b">
        <v>1</v>
      </c>
      <c r="M393" t="s">
        <v>2106</v>
      </c>
      <c r="N393" t="str">
        <f>"610.9515"</f>
        <v>610.9515</v>
      </c>
      <c r="O393" t="s">
        <v>866</v>
      </c>
      <c r="P393" t="b">
        <v>0</v>
      </c>
      <c r="Q393" t="b">
        <v>0</v>
      </c>
      <c r="R393" t="str">
        <f>"9780861714674"</f>
        <v>9780861714674</v>
      </c>
      <c r="S393" t="str">
        <f>"9781614291169"</f>
        <v>9781614291169</v>
      </c>
      <c r="T393">
        <v>942837861</v>
      </c>
    </row>
    <row r="394" spans="1:20" x14ac:dyDescent="0.25">
      <c r="A394">
        <v>1166471</v>
      </c>
      <c r="B394" t="s">
        <v>2107</v>
      </c>
      <c r="D394" t="s">
        <v>2108</v>
      </c>
      <c r="E394" t="s">
        <v>2108</v>
      </c>
      <c r="F394">
        <v>2016</v>
      </c>
      <c r="J394" t="s">
        <v>26</v>
      </c>
      <c r="K394" t="s">
        <v>27</v>
      </c>
      <c r="L394" t="b">
        <v>1</v>
      </c>
      <c r="M394" t="s">
        <v>2109</v>
      </c>
      <c r="P394" t="b">
        <v>0</v>
      </c>
      <c r="Q394" t="b">
        <v>0</v>
      </c>
      <c r="R394" t="str">
        <f>"9781783741427"</f>
        <v>9781783741427</v>
      </c>
      <c r="S394" t="str">
        <f>"9781783741441"</f>
        <v>9781783741441</v>
      </c>
    </row>
    <row r="395" spans="1:20" x14ac:dyDescent="0.25">
      <c r="A395">
        <v>1166410</v>
      </c>
      <c r="B395" t="s">
        <v>2110</v>
      </c>
      <c r="C395" t="s">
        <v>2111</v>
      </c>
      <c r="D395" t="s">
        <v>123</v>
      </c>
      <c r="E395" t="s">
        <v>219</v>
      </c>
      <c r="F395">
        <v>2016</v>
      </c>
      <c r="G395" t="s">
        <v>283</v>
      </c>
      <c r="H395" t="s">
        <v>2112</v>
      </c>
      <c r="I395" t="s">
        <v>2113</v>
      </c>
      <c r="J395" t="s">
        <v>26</v>
      </c>
      <c r="K395" t="s">
        <v>48</v>
      </c>
      <c r="L395" t="b">
        <v>1</v>
      </c>
      <c r="M395" t="s">
        <v>2114</v>
      </c>
      <c r="N395" t="str">
        <f>"951/.505092"</f>
        <v>951/.505092</v>
      </c>
      <c r="P395" t="b">
        <v>0</v>
      </c>
      <c r="Q395" t="b">
        <v>0</v>
      </c>
      <c r="R395" t="str">
        <f>"9781614292234"</f>
        <v>9781614292234</v>
      </c>
      <c r="S395" t="str">
        <f>"9781614292418"</f>
        <v>9781614292418</v>
      </c>
      <c r="T395">
        <v>937724238</v>
      </c>
    </row>
    <row r="396" spans="1:20" x14ac:dyDescent="0.25">
      <c r="A396">
        <v>1158486</v>
      </c>
      <c r="B396" t="s">
        <v>2115</v>
      </c>
      <c r="D396" t="s">
        <v>131</v>
      </c>
      <c r="E396" t="s">
        <v>552</v>
      </c>
      <c r="F396">
        <v>2016</v>
      </c>
      <c r="G396" t="s">
        <v>2116</v>
      </c>
      <c r="H396" t="s">
        <v>2117</v>
      </c>
      <c r="I396" t="s">
        <v>2118</v>
      </c>
      <c r="J396" t="s">
        <v>26</v>
      </c>
      <c r="K396" t="s">
        <v>86</v>
      </c>
      <c r="L396" t="b">
        <v>1</v>
      </c>
      <c r="M396" t="s">
        <v>2119</v>
      </c>
      <c r="N396" t="str">
        <f>"363.25"</f>
        <v>363.25</v>
      </c>
      <c r="O396" t="s">
        <v>2120</v>
      </c>
      <c r="P396" t="b">
        <v>0</v>
      </c>
      <c r="Q396" t="b">
        <v>0</v>
      </c>
      <c r="R396" t="str">
        <f>"9781780748245"</f>
        <v>9781780748245</v>
      </c>
      <c r="S396" t="str">
        <f>"9781780748252"</f>
        <v>9781780748252</v>
      </c>
      <c r="T396">
        <v>950965108</v>
      </c>
    </row>
    <row r="397" spans="1:20" x14ac:dyDescent="0.25">
      <c r="A397">
        <v>1158394</v>
      </c>
      <c r="B397" t="s">
        <v>2121</v>
      </c>
      <c r="D397" t="s">
        <v>131</v>
      </c>
      <c r="E397" t="s">
        <v>766</v>
      </c>
      <c r="F397">
        <v>2016</v>
      </c>
      <c r="G397" t="s">
        <v>2122</v>
      </c>
      <c r="H397" t="s">
        <v>2123</v>
      </c>
      <c r="I397" t="s">
        <v>2124</v>
      </c>
      <c r="J397" t="s">
        <v>26</v>
      </c>
      <c r="K397" t="s">
        <v>48</v>
      </c>
      <c r="L397" t="b">
        <v>1</v>
      </c>
      <c r="M397" t="s">
        <v>2125</v>
      </c>
      <c r="N397" t="str">
        <f>"617.5/85"</f>
        <v>617.5/85</v>
      </c>
      <c r="P397" t="b">
        <v>0</v>
      </c>
      <c r="Q397" t="b">
        <v>0</v>
      </c>
      <c r="R397" t="str">
        <f>"9781580405706"</f>
        <v>9781580405706</v>
      </c>
      <c r="S397" t="str">
        <f>"9781580406420"</f>
        <v>9781580406420</v>
      </c>
      <c r="T397">
        <v>936117857</v>
      </c>
    </row>
    <row r="398" spans="1:20" x14ac:dyDescent="0.25">
      <c r="A398">
        <v>1149193</v>
      </c>
      <c r="B398" t="s">
        <v>2126</v>
      </c>
      <c r="C398" t="s">
        <v>2127</v>
      </c>
      <c r="D398" t="s">
        <v>2128</v>
      </c>
      <c r="E398" t="s">
        <v>2129</v>
      </c>
      <c r="F398">
        <v>2015</v>
      </c>
      <c r="G398" t="s">
        <v>2130</v>
      </c>
      <c r="H398" t="s">
        <v>2131</v>
      </c>
      <c r="I398" t="s">
        <v>2132</v>
      </c>
      <c r="J398" t="s">
        <v>26</v>
      </c>
      <c r="K398" t="s">
        <v>27</v>
      </c>
      <c r="L398" t="b">
        <v>1</v>
      </c>
      <c r="M398" t="s">
        <v>2133</v>
      </c>
      <c r="N398" t="str">
        <f>"629.13092"</f>
        <v>629.13092</v>
      </c>
      <c r="O398" t="s">
        <v>2134</v>
      </c>
      <c r="P398" t="b">
        <v>0</v>
      </c>
      <c r="Q398" t="b">
        <v>0</v>
      </c>
      <c r="R398" t="str">
        <f>"9781612481555"</f>
        <v>9781612481555</v>
      </c>
      <c r="S398" t="str">
        <f>"9781612481562"</f>
        <v>9781612481562</v>
      </c>
      <c r="T398">
        <v>935185558</v>
      </c>
    </row>
    <row r="399" spans="1:20" x14ac:dyDescent="0.25">
      <c r="A399">
        <v>1149191</v>
      </c>
      <c r="B399" t="s">
        <v>2135</v>
      </c>
      <c r="C399" t="s">
        <v>2136</v>
      </c>
      <c r="D399" t="s">
        <v>2128</v>
      </c>
      <c r="E399" t="s">
        <v>2129</v>
      </c>
      <c r="F399">
        <v>2015</v>
      </c>
      <c r="G399" t="s">
        <v>2137</v>
      </c>
      <c r="H399" t="s">
        <v>2138</v>
      </c>
      <c r="I399" t="s">
        <v>2139</v>
      </c>
      <c r="J399" t="s">
        <v>26</v>
      </c>
      <c r="K399" t="s">
        <v>27</v>
      </c>
      <c r="L399" t="b">
        <v>1</v>
      </c>
      <c r="M399" t="s">
        <v>2140</v>
      </c>
      <c r="N399" t="str">
        <f>"004.092"</f>
        <v>004.092</v>
      </c>
      <c r="O399" t="s">
        <v>2134</v>
      </c>
      <c r="P399" t="b">
        <v>0</v>
      </c>
      <c r="Q399" t="b">
        <v>0</v>
      </c>
      <c r="R399" t="str">
        <f>"9781612481456"</f>
        <v>9781612481456</v>
      </c>
      <c r="S399" t="str">
        <f>"9781612481463"</f>
        <v>9781612481463</v>
      </c>
      <c r="T399">
        <v>935185503</v>
      </c>
    </row>
    <row r="400" spans="1:20" x14ac:dyDescent="0.25">
      <c r="A400">
        <v>1141238</v>
      </c>
      <c r="B400" t="s">
        <v>2141</v>
      </c>
      <c r="C400" t="s">
        <v>2142</v>
      </c>
      <c r="D400" t="s">
        <v>2143</v>
      </c>
      <c r="E400" t="s">
        <v>2144</v>
      </c>
      <c r="F400">
        <v>2016</v>
      </c>
      <c r="G400" t="s">
        <v>2145</v>
      </c>
      <c r="H400" t="s">
        <v>2146</v>
      </c>
      <c r="I400" t="s">
        <v>2147</v>
      </c>
      <c r="J400" t="s">
        <v>26</v>
      </c>
      <c r="K400" t="s">
        <v>27</v>
      </c>
      <c r="L400" t="b">
        <v>1</v>
      </c>
      <c r="M400" t="s">
        <v>2148</v>
      </c>
      <c r="N400" t="str">
        <f>"111"</f>
        <v>111</v>
      </c>
      <c r="P400" t="b">
        <v>0</v>
      </c>
      <c r="R400" t="str">
        <f>"9780954323110"</f>
        <v>9780954323110</v>
      </c>
      <c r="S400" t="str">
        <f>"9780993510007"</f>
        <v>9780993510007</v>
      </c>
      <c r="T400">
        <v>982381555</v>
      </c>
    </row>
    <row r="401" spans="1:20" x14ac:dyDescent="0.25">
      <c r="A401">
        <v>1135105</v>
      </c>
      <c r="B401" t="s">
        <v>2149</v>
      </c>
      <c r="C401" t="s">
        <v>2150</v>
      </c>
      <c r="D401" t="s">
        <v>1980</v>
      </c>
      <c r="E401" t="s">
        <v>1980</v>
      </c>
      <c r="F401">
        <v>2016</v>
      </c>
      <c r="G401" t="s">
        <v>786</v>
      </c>
      <c r="H401" t="s">
        <v>2151</v>
      </c>
      <c r="I401" t="s">
        <v>2152</v>
      </c>
      <c r="J401" t="s">
        <v>26</v>
      </c>
      <c r="K401" t="s">
        <v>86</v>
      </c>
      <c r="L401" t="b">
        <v>1</v>
      </c>
      <c r="M401" t="s">
        <v>2153</v>
      </c>
      <c r="N401" t="str">
        <f>"650"</f>
        <v>650</v>
      </c>
      <c r="P401" t="b">
        <v>0</v>
      </c>
      <c r="R401" t="str">
        <f>"9780749475000"</f>
        <v>9780749475000</v>
      </c>
      <c r="S401" t="str">
        <f>"9780749474973"</f>
        <v>9780749474973</v>
      </c>
      <c r="T401">
        <v>933741424</v>
      </c>
    </row>
    <row r="402" spans="1:20" x14ac:dyDescent="0.25">
      <c r="A402">
        <v>1134054</v>
      </c>
      <c r="B402" t="s">
        <v>2154</v>
      </c>
      <c r="D402" t="s">
        <v>107</v>
      </c>
      <c r="E402" t="s">
        <v>2155</v>
      </c>
      <c r="F402">
        <v>2016</v>
      </c>
      <c r="G402" t="s">
        <v>2156</v>
      </c>
      <c r="H402" t="s">
        <v>2157</v>
      </c>
      <c r="I402" t="s">
        <v>2158</v>
      </c>
      <c r="J402" t="s">
        <v>26</v>
      </c>
      <c r="K402" t="s">
        <v>27</v>
      </c>
      <c r="L402" t="b">
        <v>1</v>
      </c>
      <c r="M402" t="s">
        <v>112</v>
      </c>
      <c r="N402" t="str">
        <f>"333.7"</f>
        <v>333.7</v>
      </c>
      <c r="O402" t="s">
        <v>2159</v>
      </c>
      <c r="P402" t="b">
        <v>0</v>
      </c>
      <c r="R402" t="str">
        <f>"9781780460482"</f>
        <v>9781780460482</v>
      </c>
      <c r="S402" t="str">
        <f>"9781780465494"</f>
        <v>9781780465494</v>
      </c>
      <c r="T402">
        <v>933590109</v>
      </c>
    </row>
    <row r="403" spans="1:20" x14ac:dyDescent="0.25">
      <c r="A403">
        <v>1134053</v>
      </c>
      <c r="B403" t="s">
        <v>2160</v>
      </c>
      <c r="C403" t="s">
        <v>2161</v>
      </c>
      <c r="D403" t="s">
        <v>107</v>
      </c>
      <c r="E403" t="s">
        <v>108</v>
      </c>
      <c r="F403">
        <v>2016</v>
      </c>
      <c r="G403" t="s">
        <v>1094</v>
      </c>
      <c r="H403" t="s">
        <v>2162</v>
      </c>
      <c r="I403" t="s">
        <v>2163</v>
      </c>
      <c r="J403" t="s">
        <v>26</v>
      </c>
      <c r="K403" t="s">
        <v>86</v>
      </c>
      <c r="L403" t="b">
        <v>1</v>
      </c>
      <c r="M403" t="s">
        <v>2164</v>
      </c>
      <c r="N403" t="str">
        <f>"551.7/01"</f>
        <v>551.7/01</v>
      </c>
      <c r="P403" t="b">
        <v>0</v>
      </c>
      <c r="Q403" t="b">
        <v>0</v>
      </c>
      <c r="R403" t="str">
        <f>"9781780460390"</f>
        <v>9781780460390</v>
      </c>
      <c r="S403" t="str">
        <f>"9781780465432"</f>
        <v>9781780465432</v>
      </c>
      <c r="T403">
        <v>933590099</v>
      </c>
    </row>
    <row r="404" spans="1:20" x14ac:dyDescent="0.25">
      <c r="A404">
        <v>1134051</v>
      </c>
      <c r="B404" t="s">
        <v>2165</v>
      </c>
      <c r="C404" t="s">
        <v>2166</v>
      </c>
      <c r="D404" t="s">
        <v>107</v>
      </c>
      <c r="E404" t="s">
        <v>108</v>
      </c>
      <c r="F404">
        <v>2015</v>
      </c>
      <c r="G404" t="s">
        <v>876</v>
      </c>
      <c r="H404" t="s">
        <v>2167</v>
      </c>
      <c r="I404" t="s">
        <v>2168</v>
      </c>
      <c r="J404" t="s">
        <v>26</v>
      </c>
      <c r="K404" t="s">
        <v>86</v>
      </c>
      <c r="L404" t="b">
        <v>1</v>
      </c>
      <c r="M404" t="s">
        <v>2169</v>
      </c>
      <c r="N404" t="str">
        <f>"616.8521"</f>
        <v>616.8521</v>
      </c>
      <c r="O404" t="s">
        <v>2170</v>
      </c>
      <c r="P404" t="b">
        <v>0</v>
      </c>
      <c r="Q404" t="b">
        <v>0</v>
      </c>
      <c r="R404" t="str">
        <f>"9781780460536"</f>
        <v>9781780460536</v>
      </c>
      <c r="S404" t="str">
        <f>"9781780465456"</f>
        <v>9781780465456</v>
      </c>
      <c r="T404">
        <v>933590100</v>
      </c>
    </row>
    <row r="405" spans="1:20" x14ac:dyDescent="0.25">
      <c r="A405">
        <v>1129552</v>
      </c>
      <c r="B405" t="s">
        <v>2171</v>
      </c>
      <c r="D405" t="s">
        <v>22</v>
      </c>
      <c r="E405" t="s">
        <v>22</v>
      </c>
      <c r="F405">
        <v>2015</v>
      </c>
      <c r="G405" t="s">
        <v>1649</v>
      </c>
      <c r="H405" t="s">
        <v>2172</v>
      </c>
      <c r="I405" t="s">
        <v>2173</v>
      </c>
      <c r="J405" t="s">
        <v>26</v>
      </c>
      <c r="K405" t="s">
        <v>27</v>
      </c>
      <c r="L405" t="b">
        <v>1</v>
      </c>
      <c r="M405" t="s">
        <v>2174</v>
      </c>
      <c r="N405" t="str">
        <f>"950"</f>
        <v>950</v>
      </c>
      <c r="O405" t="s">
        <v>2175</v>
      </c>
      <c r="P405" t="b">
        <v>0</v>
      </c>
      <c r="Q405" t="b">
        <v>0</v>
      </c>
      <c r="R405" t="str">
        <f>"9789089648594"</f>
        <v>9789089648594</v>
      </c>
      <c r="S405" t="str">
        <f>"9789048527144"</f>
        <v>9789048527144</v>
      </c>
      <c r="T405">
        <v>933298032</v>
      </c>
    </row>
    <row r="406" spans="1:20" x14ac:dyDescent="0.25">
      <c r="A406">
        <v>1118554</v>
      </c>
      <c r="B406" t="s">
        <v>2176</v>
      </c>
      <c r="D406" t="s">
        <v>22</v>
      </c>
      <c r="E406" t="s">
        <v>22</v>
      </c>
      <c r="F406">
        <v>2015</v>
      </c>
      <c r="G406" t="s">
        <v>57</v>
      </c>
      <c r="H406" t="s">
        <v>2177</v>
      </c>
      <c r="I406" t="s">
        <v>2178</v>
      </c>
      <c r="J406" t="s">
        <v>26</v>
      </c>
      <c r="K406" t="s">
        <v>27</v>
      </c>
      <c r="L406" t="b">
        <v>1</v>
      </c>
      <c r="M406" t="s">
        <v>2179</v>
      </c>
      <c r="N406" t="str">
        <f>"323"</f>
        <v>323</v>
      </c>
      <c r="O406" t="s">
        <v>191</v>
      </c>
      <c r="P406" t="b">
        <v>0</v>
      </c>
      <c r="Q406" t="b">
        <v>0</v>
      </c>
      <c r="R406" t="str">
        <f>"9789089647481"</f>
        <v>9789089647481</v>
      </c>
      <c r="S406" t="str">
        <f>"9789048525157"</f>
        <v>9789048525157</v>
      </c>
      <c r="T406">
        <v>932497014</v>
      </c>
    </row>
    <row r="407" spans="1:20" x14ac:dyDescent="0.25">
      <c r="A407">
        <v>1118553</v>
      </c>
      <c r="B407" t="s">
        <v>2180</v>
      </c>
      <c r="D407" t="s">
        <v>22</v>
      </c>
      <c r="E407" t="s">
        <v>22</v>
      </c>
      <c r="F407">
        <v>2015</v>
      </c>
      <c r="G407" t="s">
        <v>31</v>
      </c>
      <c r="H407" t="s">
        <v>2181</v>
      </c>
      <c r="I407" t="s">
        <v>2182</v>
      </c>
      <c r="J407" t="s">
        <v>26</v>
      </c>
      <c r="K407" t="s">
        <v>27</v>
      </c>
      <c r="L407" t="b">
        <v>1</v>
      </c>
      <c r="M407" t="s">
        <v>2183</v>
      </c>
      <c r="N407" t="str">
        <f>"302.23"</f>
        <v>302.23</v>
      </c>
      <c r="O407" t="s">
        <v>2184</v>
      </c>
      <c r="P407" t="b">
        <v>0</v>
      </c>
      <c r="Q407" t="b">
        <v>0</v>
      </c>
      <c r="R407" t="str">
        <f>"9789089647412"</f>
        <v>9789089647412</v>
      </c>
      <c r="S407" t="str">
        <f>"9789048524990"</f>
        <v>9789048524990</v>
      </c>
      <c r="T407">
        <v>932497774</v>
      </c>
    </row>
    <row r="408" spans="1:20" x14ac:dyDescent="0.25">
      <c r="A408">
        <v>1118551</v>
      </c>
      <c r="B408" t="s">
        <v>2185</v>
      </c>
      <c r="D408" t="s">
        <v>22</v>
      </c>
      <c r="E408" t="s">
        <v>22</v>
      </c>
      <c r="F408">
        <v>2015</v>
      </c>
      <c r="G408" t="s">
        <v>57</v>
      </c>
      <c r="H408" t="s">
        <v>2186</v>
      </c>
      <c r="I408" t="s">
        <v>2187</v>
      </c>
      <c r="J408" t="s">
        <v>26</v>
      </c>
      <c r="K408" t="s">
        <v>27</v>
      </c>
      <c r="L408" t="b">
        <v>1</v>
      </c>
      <c r="M408" t="s">
        <v>2188</v>
      </c>
      <c r="N408" t="str">
        <f>"303.484"</f>
        <v>303.484</v>
      </c>
      <c r="O408" t="s">
        <v>191</v>
      </c>
      <c r="P408" t="b">
        <v>0</v>
      </c>
      <c r="Q408" t="b">
        <v>0</v>
      </c>
      <c r="R408" t="str">
        <f>"9789089647597"</f>
        <v>9789089647597</v>
      </c>
      <c r="S408" t="str">
        <f>"9789048525386"</f>
        <v>9789048525386</v>
      </c>
      <c r="T408">
        <v>932499710</v>
      </c>
    </row>
    <row r="409" spans="1:20" x14ac:dyDescent="0.25">
      <c r="A409">
        <v>1107506</v>
      </c>
      <c r="B409" t="s">
        <v>2189</v>
      </c>
      <c r="D409" t="s">
        <v>22</v>
      </c>
      <c r="E409" t="s">
        <v>22</v>
      </c>
      <c r="F409">
        <v>2015</v>
      </c>
      <c r="G409" t="s">
        <v>31</v>
      </c>
      <c r="H409" t="s">
        <v>2190</v>
      </c>
      <c r="I409" t="s">
        <v>2191</v>
      </c>
      <c r="J409" t="s">
        <v>26</v>
      </c>
      <c r="K409" t="s">
        <v>27</v>
      </c>
      <c r="L409" t="b">
        <v>1</v>
      </c>
      <c r="M409" t="s">
        <v>2192</v>
      </c>
      <c r="N409" t="str">
        <f>"070.18"</f>
        <v>070.18</v>
      </c>
      <c r="O409" t="s">
        <v>29</v>
      </c>
      <c r="P409" t="b">
        <v>0</v>
      </c>
      <c r="Q409" t="b">
        <v>0</v>
      </c>
      <c r="R409" t="str">
        <f>"9789089647559"</f>
        <v>9789089647559</v>
      </c>
      <c r="S409" t="str">
        <f>"9789048525294"</f>
        <v>9789048525294</v>
      </c>
      <c r="T409">
        <v>931874003</v>
      </c>
    </row>
    <row r="410" spans="1:20" x14ac:dyDescent="0.25">
      <c r="A410">
        <v>1106679</v>
      </c>
      <c r="B410" t="s">
        <v>2193</v>
      </c>
      <c r="C410" t="s">
        <v>2194</v>
      </c>
      <c r="D410" t="s">
        <v>644</v>
      </c>
      <c r="E410" t="s">
        <v>2195</v>
      </c>
      <c r="F410">
        <v>2015</v>
      </c>
      <c r="G410" t="s">
        <v>670</v>
      </c>
      <c r="H410" t="s">
        <v>2196</v>
      </c>
      <c r="I410" t="s">
        <v>2197</v>
      </c>
      <c r="J410" t="s">
        <v>26</v>
      </c>
      <c r="K410" t="s">
        <v>48</v>
      </c>
      <c r="L410" t="b">
        <v>1</v>
      </c>
      <c r="M410" t="s">
        <v>2198</v>
      </c>
      <c r="N410" t="str">
        <f>"822.4"</f>
        <v>822.4</v>
      </c>
      <c r="O410" t="s">
        <v>2199</v>
      </c>
      <c r="P410" t="b">
        <v>1</v>
      </c>
      <c r="Q410" t="b">
        <v>0</v>
      </c>
      <c r="R410" t="str">
        <f>"9781854592255"</f>
        <v>9781854592255</v>
      </c>
      <c r="S410" t="str">
        <f>"9781780016801"</f>
        <v>9781780016801</v>
      </c>
      <c r="T410">
        <v>933580978</v>
      </c>
    </row>
    <row r="411" spans="1:20" x14ac:dyDescent="0.25">
      <c r="A411">
        <v>1106560</v>
      </c>
      <c r="B411" t="s">
        <v>2200</v>
      </c>
      <c r="C411" t="s">
        <v>2201</v>
      </c>
      <c r="D411" t="s">
        <v>644</v>
      </c>
      <c r="E411" t="s">
        <v>2202</v>
      </c>
      <c r="F411">
        <v>2016</v>
      </c>
      <c r="G411" t="s">
        <v>2203</v>
      </c>
      <c r="H411" t="s">
        <v>2204</v>
      </c>
      <c r="I411" t="s">
        <v>2205</v>
      </c>
      <c r="J411" t="s">
        <v>26</v>
      </c>
      <c r="K411" t="s">
        <v>48</v>
      </c>
      <c r="L411" t="b">
        <v>1</v>
      </c>
      <c r="M411" t="s">
        <v>2206</v>
      </c>
      <c r="N411" t="str">
        <f>"823/.912"</f>
        <v>823/.912</v>
      </c>
      <c r="P411" t="b">
        <v>1</v>
      </c>
      <c r="Q411" t="b">
        <v>0</v>
      </c>
      <c r="R411" t="str">
        <f>"9781910124703"</f>
        <v>9781910124703</v>
      </c>
      <c r="S411" t="str">
        <f>"9781910124710"</f>
        <v>9781910124710</v>
      </c>
      <c r="T411">
        <v>968732754</v>
      </c>
    </row>
    <row r="412" spans="1:20" x14ac:dyDescent="0.25">
      <c r="A412">
        <v>1106020</v>
      </c>
      <c r="B412" t="s">
        <v>2207</v>
      </c>
      <c r="C412" t="s">
        <v>2208</v>
      </c>
      <c r="D412" t="s">
        <v>211</v>
      </c>
      <c r="E412" t="s">
        <v>212</v>
      </c>
      <c r="F412">
        <v>2016</v>
      </c>
      <c r="G412" t="s">
        <v>2209</v>
      </c>
      <c r="H412" t="s">
        <v>2210</v>
      </c>
      <c r="I412" t="s">
        <v>2211</v>
      </c>
      <c r="J412" t="s">
        <v>26</v>
      </c>
      <c r="K412" t="s">
        <v>27</v>
      </c>
      <c r="L412" t="b">
        <v>1</v>
      </c>
      <c r="M412" t="s">
        <v>2212</v>
      </c>
      <c r="N412" t="str">
        <f>"004/.8352"</f>
        <v>004/.8352</v>
      </c>
      <c r="P412" t="b">
        <v>0</v>
      </c>
      <c r="Q412" t="b">
        <v>0</v>
      </c>
      <c r="S412" t="str">
        <f>"9781922235879"</f>
        <v>9781922235879</v>
      </c>
      <c r="T412">
        <v>931535137</v>
      </c>
    </row>
    <row r="413" spans="1:20" x14ac:dyDescent="0.25">
      <c r="A413">
        <v>1106017</v>
      </c>
      <c r="B413" t="s">
        <v>2213</v>
      </c>
      <c r="C413" t="s">
        <v>2214</v>
      </c>
      <c r="D413" t="s">
        <v>211</v>
      </c>
      <c r="E413" t="s">
        <v>212</v>
      </c>
      <c r="F413">
        <v>2016</v>
      </c>
      <c r="G413" t="s">
        <v>2215</v>
      </c>
      <c r="H413" t="s">
        <v>2216</v>
      </c>
      <c r="I413" t="s">
        <v>2217</v>
      </c>
      <c r="J413" t="s">
        <v>26</v>
      </c>
      <c r="K413" t="s">
        <v>27</v>
      </c>
      <c r="L413" t="b">
        <v>1</v>
      </c>
      <c r="M413" t="s">
        <v>2218</v>
      </c>
      <c r="N413" t="str">
        <f>"306.40959828"</f>
        <v>306.40959828</v>
      </c>
      <c r="O413" t="s">
        <v>1823</v>
      </c>
      <c r="P413" t="b">
        <v>0</v>
      </c>
      <c r="Q413" t="b">
        <v>0</v>
      </c>
      <c r="T413">
        <v>931873935</v>
      </c>
    </row>
    <row r="414" spans="1:20" x14ac:dyDescent="0.25">
      <c r="A414">
        <v>1104490</v>
      </c>
      <c r="B414" t="s">
        <v>2219</v>
      </c>
      <c r="C414" t="s">
        <v>2220</v>
      </c>
      <c r="D414" t="s">
        <v>2221</v>
      </c>
      <c r="E414" t="s">
        <v>2221</v>
      </c>
      <c r="F414">
        <v>2013</v>
      </c>
      <c r="G414" t="s">
        <v>2222</v>
      </c>
      <c r="H414" t="s">
        <v>2223</v>
      </c>
      <c r="J414" t="s">
        <v>26</v>
      </c>
      <c r="K414" t="s">
        <v>27</v>
      </c>
      <c r="L414" t="b">
        <v>1</v>
      </c>
      <c r="M414" t="s">
        <v>2224</v>
      </c>
      <c r="N414" t="str">
        <f>"353.008/233"</f>
        <v>353.008/233</v>
      </c>
      <c r="P414" t="b">
        <v>0</v>
      </c>
      <c r="R414" t="str">
        <f>"9780295705200"</f>
        <v>9780295705200</v>
      </c>
      <c r="S414" t="str">
        <f>"9780295803487"</f>
        <v>9780295803487</v>
      </c>
      <c r="T414">
        <v>930703445</v>
      </c>
    </row>
    <row r="415" spans="1:20" x14ac:dyDescent="0.25">
      <c r="A415">
        <v>1102943</v>
      </c>
      <c r="B415" t="s">
        <v>2225</v>
      </c>
      <c r="D415" t="s">
        <v>211</v>
      </c>
      <c r="E415" t="s">
        <v>212</v>
      </c>
      <c r="F415">
        <v>2014</v>
      </c>
      <c r="G415" t="s">
        <v>2226</v>
      </c>
      <c r="H415" t="s">
        <v>2227</v>
      </c>
      <c r="I415" t="s">
        <v>2228</v>
      </c>
      <c r="J415" t="s">
        <v>26</v>
      </c>
      <c r="K415" t="s">
        <v>27</v>
      </c>
      <c r="L415" t="b">
        <v>1</v>
      </c>
      <c r="M415" t="s">
        <v>2229</v>
      </c>
      <c r="N415" t="str">
        <f>"580.92"</f>
        <v>580.92</v>
      </c>
      <c r="P415" t="b">
        <v>0</v>
      </c>
      <c r="Q415" t="b">
        <v>0</v>
      </c>
      <c r="T415">
        <v>930601734</v>
      </c>
    </row>
    <row r="416" spans="1:20" x14ac:dyDescent="0.25">
      <c r="A416">
        <v>1095891</v>
      </c>
      <c r="B416" t="s">
        <v>2230</v>
      </c>
      <c r="C416" t="s">
        <v>2231</v>
      </c>
      <c r="D416" t="s">
        <v>131</v>
      </c>
      <c r="E416" t="s">
        <v>552</v>
      </c>
      <c r="F416">
        <v>2016</v>
      </c>
      <c r="G416" t="s">
        <v>2232</v>
      </c>
      <c r="H416" t="s">
        <v>2233</v>
      </c>
      <c r="I416" t="s">
        <v>2234</v>
      </c>
      <c r="J416" t="s">
        <v>26</v>
      </c>
      <c r="K416" t="s">
        <v>86</v>
      </c>
      <c r="L416" t="b">
        <v>1</v>
      </c>
      <c r="M416" t="s">
        <v>2235</v>
      </c>
      <c r="N416" t="str">
        <f>"297.566"</f>
        <v>297.566</v>
      </c>
      <c r="P416" t="b">
        <v>0</v>
      </c>
      <c r="Q416" t="b">
        <v>0</v>
      </c>
      <c r="R416" t="str">
        <f>"9781780743813"</f>
        <v>9781780743813</v>
      </c>
      <c r="S416" t="str">
        <f>"9781780748535"</f>
        <v>9781780748535</v>
      </c>
      <c r="T416">
        <v>934433002</v>
      </c>
    </row>
    <row r="417" spans="1:20" x14ac:dyDescent="0.25">
      <c r="A417">
        <v>1092561</v>
      </c>
      <c r="B417" t="s">
        <v>2236</v>
      </c>
      <c r="C417" t="s">
        <v>2237</v>
      </c>
      <c r="D417" t="s">
        <v>2238</v>
      </c>
      <c r="E417" t="s">
        <v>2239</v>
      </c>
      <c r="F417">
        <v>2015</v>
      </c>
      <c r="G417" t="s">
        <v>2240</v>
      </c>
      <c r="H417" t="s">
        <v>2241</v>
      </c>
      <c r="I417" t="s">
        <v>2242</v>
      </c>
      <c r="J417" t="s">
        <v>26</v>
      </c>
      <c r="K417" t="s">
        <v>86</v>
      </c>
      <c r="L417" t="b">
        <v>1</v>
      </c>
      <c r="M417" t="s">
        <v>2243</v>
      </c>
      <c r="N417" t="str">
        <f>"792.02/5"</f>
        <v>792.02/5</v>
      </c>
      <c r="P417" t="b">
        <v>0</v>
      </c>
      <c r="R417" t="str">
        <f>"9780205461004"</f>
        <v>9780205461004</v>
      </c>
      <c r="S417" t="str">
        <f>"9781317343936"</f>
        <v>9781317343936</v>
      </c>
      <c r="T417">
        <v>935675847</v>
      </c>
    </row>
    <row r="418" spans="1:20" x14ac:dyDescent="0.25">
      <c r="A418">
        <v>1084604</v>
      </c>
      <c r="B418" t="s">
        <v>2244</v>
      </c>
      <c r="C418" t="s">
        <v>2245</v>
      </c>
      <c r="D418" t="s">
        <v>123</v>
      </c>
      <c r="E418" t="s">
        <v>219</v>
      </c>
      <c r="F418">
        <v>2015</v>
      </c>
      <c r="G418" t="s">
        <v>2246</v>
      </c>
      <c r="H418" t="s">
        <v>2247</v>
      </c>
      <c r="I418" t="s">
        <v>2248</v>
      </c>
      <c r="J418" t="s">
        <v>26</v>
      </c>
      <c r="K418" t="s">
        <v>48</v>
      </c>
      <c r="L418" t="b">
        <v>1</v>
      </c>
      <c r="M418" t="s">
        <v>2249</v>
      </c>
      <c r="N418" t="str">
        <f>"294.3/444"</f>
        <v>294.3/444</v>
      </c>
      <c r="P418" t="b">
        <v>0</v>
      </c>
      <c r="Q418" t="b">
        <v>0</v>
      </c>
      <c r="R418" t="str">
        <f>"9781614291534"</f>
        <v>9781614291534</v>
      </c>
      <c r="S418" t="str">
        <f>"9781614291718"</f>
        <v>9781614291718</v>
      </c>
      <c r="T418">
        <v>926709548</v>
      </c>
    </row>
    <row r="419" spans="1:20" x14ac:dyDescent="0.25">
      <c r="A419">
        <v>1082516</v>
      </c>
      <c r="B419" t="s">
        <v>2250</v>
      </c>
      <c r="C419" t="s">
        <v>2251</v>
      </c>
      <c r="D419" t="s">
        <v>123</v>
      </c>
      <c r="E419" t="s">
        <v>219</v>
      </c>
      <c r="F419">
        <v>2015</v>
      </c>
      <c r="G419" t="s">
        <v>862</v>
      </c>
      <c r="H419" t="s">
        <v>2252</v>
      </c>
      <c r="I419" t="s">
        <v>2253</v>
      </c>
      <c r="J419" t="s">
        <v>26</v>
      </c>
      <c r="K419" t="s">
        <v>48</v>
      </c>
      <c r="L419" t="b">
        <v>1</v>
      </c>
      <c r="M419" t="s">
        <v>2254</v>
      </c>
      <c r="N419" t="str">
        <f>"294.3/42"</f>
        <v>294.3/42</v>
      </c>
      <c r="P419" t="b">
        <v>0</v>
      </c>
      <c r="Q419" t="b">
        <v>0</v>
      </c>
      <c r="R419" t="str">
        <f>"9781614293279"</f>
        <v>9781614293279</v>
      </c>
      <c r="S419" t="str">
        <f>"9781614293378"</f>
        <v>9781614293378</v>
      </c>
      <c r="T419">
        <v>925522770</v>
      </c>
    </row>
    <row r="420" spans="1:20" x14ac:dyDescent="0.25">
      <c r="A420">
        <v>1079648</v>
      </c>
      <c r="B420" t="s">
        <v>2255</v>
      </c>
      <c r="D420" t="s">
        <v>2256</v>
      </c>
      <c r="E420" t="s">
        <v>2257</v>
      </c>
      <c r="F420">
        <v>2016</v>
      </c>
      <c r="G420" t="s">
        <v>676</v>
      </c>
      <c r="H420" t="s">
        <v>2258</v>
      </c>
      <c r="I420" t="s">
        <v>2259</v>
      </c>
      <c r="J420" t="s">
        <v>26</v>
      </c>
      <c r="K420" t="s">
        <v>48</v>
      </c>
      <c r="L420" t="b">
        <v>1</v>
      </c>
      <c r="M420" t="s">
        <v>2260</v>
      </c>
      <c r="N420" t="str">
        <f>"759.1"</f>
        <v>759.1</v>
      </c>
      <c r="P420" t="b">
        <v>0</v>
      </c>
      <c r="S420" t="str">
        <f>"9781501816611"</f>
        <v>9781501816611</v>
      </c>
      <c r="T420">
        <v>946038524</v>
      </c>
    </row>
    <row r="421" spans="1:20" x14ac:dyDescent="0.25">
      <c r="A421">
        <v>1079221</v>
      </c>
      <c r="B421" t="s">
        <v>2261</v>
      </c>
      <c r="C421" t="s">
        <v>2262</v>
      </c>
      <c r="D421" t="s">
        <v>131</v>
      </c>
      <c r="E421" t="s">
        <v>1737</v>
      </c>
      <c r="F421">
        <v>2015</v>
      </c>
      <c r="G421" t="s">
        <v>2263</v>
      </c>
      <c r="H421" t="s">
        <v>2264</v>
      </c>
      <c r="I421" t="s">
        <v>2265</v>
      </c>
      <c r="J421" t="s">
        <v>26</v>
      </c>
      <c r="K421" t="s">
        <v>48</v>
      </c>
      <c r="L421" t="b">
        <v>1</v>
      </c>
      <c r="M421" t="s">
        <v>2266</v>
      </c>
      <c r="N421" t="str">
        <f>"599.756"</f>
        <v>599.756</v>
      </c>
      <c r="P421" t="b">
        <v>0</v>
      </c>
      <c r="Q421" t="b">
        <v>0</v>
      </c>
      <c r="R421" t="str">
        <f>"9781771641135"</f>
        <v>9781771641135</v>
      </c>
      <c r="S421" t="str">
        <f>"9781771641142"</f>
        <v>9781771641142</v>
      </c>
      <c r="T421">
        <v>915263742</v>
      </c>
    </row>
    <row r="422" spans="1:20" x14ac:dyDescent="0.25">
      <c r="A422">
        <v>1078081</v>
      </c>
      <c r="B422" t="s">
        <v>2267</v>
      </c>
      <c r="C422" t="s">
        <v>2268</v>
      </c>
      <c r="D422" t="s">
        <v>2269</v>
      </c>
      <c r="E422" t="s">
        <v>2269</v>
      </c>
      <c r="F422">
        <v>1999</v>
      </c>
      <c r="G422" t="s">
        <v>242</v>
      </c>
      <c r="H422" t="s">
        <v>2270</v>
      </c>
      <c r="I422" t="s">
        <v>2271</v>
      </c>
      <c r="J422" t="s">
        <v>26</v>
      </c>
      <c r="K422" t="s">
        <v>27</v>
      </c>
      <c r="L422" t="b">
        <v>1</v>
      </c>
      <c r="M422" t="s">
        <v>2272</v>
      </c>
      <c r="N422" t="str">
        <f>"363.738/4"</f>
        <v>363.738/4</v>
      </c>
      <c r="P422" t="b">
        <v>0</v>
      </c>
      <c r="Q422" t="b">
        <v>0</v>
      </c>
      <c r="R422" t="str">
        <f>"9781560725688"</f>
        <v>9781560725688</v>
      </c>
      <c r="S422" t="str">
        <f>"9781634837668"</f>
        <v>9781634837668</v>
      </c>
      <c r="T422">
        <v>923010535</v>
      </c>
    </row>
    <row r="423" spans="1:20" x14ac:dyDescent="0.25">
      <c r="A423">
        <v>1076671</v>
      </c>
      <c r="B423" t="s">
        <v>2273</v>
      </c>
      <c r="C423" t="s">
        <v>2274</v>
      </c>
      <c r="D423" t="s">
        <v>1364</v>
      </c>
      <c r="E423" t="s">
        <v>2275</v>
      </c>
      <c r="F423">
        <v>2015</v>
      </c>
      <c r="G423" t="s">
        <v>100</v>
      </c>
      <c r="H423" t="s">
        <v>2276</v>
      </c>
      <c r="I423" t="s">
        <v>2277</v>
      </c>
      <c r="J423" t="s">
        <v>26</v>
      </c>
      <c r="K423" t="s">
        <v>86</v>
      </c>
      <c r="L423" t="b">
        <v>1</v>
      </c>
      <c r="M423" t="s">
        <v>2278</v>
      </c>
      <c r="N423" t="str">
        <f>"401.41"</f>
        <v>401.41</v>
      </c>
      <c r="O423" t="s">
        <v>2279</v>
      </c>
      <c r="P423" t="b">
        <v>0</v>
      </c>
      <c r="R423" t="str">
        <f>"9783110406566"</f>
        <v>9783110406566</v>
      </c>
      <c r="S423" t="str">
        <f>"9783110406719"</f>
        <v>9783110406719</v>
      </c>
      <c r="T423">
        <v>948656113</v>
      </c>
    </row>
    <row r="424" spans="1:20" x14ac:dyDescent="0.25">
      <c r="A424">
        <v>1076669</v>
      </c>
      <c r="B424" t="s">
        <v>2280</v>
      </c>
      <c r="D424" t="s">
        <v>1364</v>
      </c>
      <c r="E424" t="s">
        <v>1364</v>
      </c>
      <c r="F424">
        <v>2015</v>
      </c>
      <c r="G424" t="s">
        <v>2281</v>
      </c>
      <c r="H424" t="s">
        <v>2282</v>
      </c>
      <c r="I424" t="s">
        <v>2283</v>
      </c>
      <c r="J424" t="s">
        <v>26</v>
      </c>
      <c r="K424" t="s">
        <v>86</v>
      </c>
      <c r="L424" t="b">
        <v>1</v>
      </c>
      <c r="M424" t="s">
        <v>2284</v>
      </c>
      <c r="N424" t="str">
        <f>"170"</f>
        <v>170</v>
      </c>
      <c r="P424" t="b">
        <v>0</v>
      </c>
      <c r="R424" t="str">
        <f>"9783110370454"</f>
        <v>9783110370454</v>
      </c>
      <c r="S424" t="str">
        <f>"9783110366396"</f>
        <v>9783110366396</v>
      </c>
      <c r="T424">
        <v>923336450</v>
      </c>
    </row>
    <row r="425" spans="1:20" x14ac:dyDescent="0.25">
      <c r="A425">
        <v>1076038</v>
      </c>
      <c r="B425" t="s">
        <v>2285</v>
      </c>
      <c r="C425" t="s">
        <v>2286</v>
      </c>
      <c r="D425" t="s">
        <v>211</v>
      </c>
      <c r="E425" t="s">
        <v>212</v>
      </c>
      <c r="F425">
        <v>2015</v>
      </c>
      <c r="G425" t="s">
        <v>2287</v>
      </c>
      <c r="H425" t="s">
        <v>2288</v>
      </c>
      <c r="I425" t="s">
        <v>2289</v>
      </c>
      <c r="J425" t="s">
        <v>26</v>
      </c>
      <c r="K425" t="s">
        <v>27</v>
      </c>
      <c r="L425" t="b">
        <v>1</v>
      </c>
      <c r="M425" t="s">
        <v>2290</v>
      </c>
      <c r="N425" t="str">
        <f>"920.009299/15"</f>
        <v>920.009299/15</v>
      </c>
      <c r="P425" t="b">
        <v>0</v>
      </c>
      <c r="Q425" t="b">
        <v>0</v>
      </c>
      <c r="T425">
        <v>905541430</v>
      </c>
    </row>
    <row r="426" spans="1:20" x14ac:dyDescent="0.25">
      <c r="A426">
        <v>1074295</v>
      </c>
      <c r="B426" t="s">
        <v>2291</v>
      </c>
      <c r="D426" t="s">
        <v>91</v>
      </c>
      <c r="E426" t="s">
        <v>92</v>
      </c>
      <c r="F426">
        <v>2016</v>
      </c>
      <c r="G426" t="s">
        <v>2292</v>
      </c>
      <c r="H426" t="s">
        <v>2293</v>
      </c>
      <c r="I426" t="s">
        <v>2294</v>
      </c>
      <c r="J426" t="s">
        <v>26</v>
      </c>
      <c r="K426" t="s">
        <v>86</v>
      </c>
      <c r="L426" t="b">
        <v>1</v>
      </c>
      <c r="M426" t="s">
        <v>2295</v>
      </c>
      <c r="N426" t="str">
        <f>"617.8/8220592"</f>
        <v>617.8/8220592</v>
      </c>
      <c r="P426" t="b">
        <v>0</v>
      </c>
      <c r="R426" t="str">
        <f>"9783131764416"</f>
        <v>9783131764416</v>
      </c>
      <c r="S426" t="str">
        <f>"9783131764515"</f>
        <v>9783131764515</v>
      </c>
      <c r="T426">
        <v>922640750</v>
      </c>
    </row>
    <row r="427" spans="1:20" x14ac:dyDescent="0.25">
      <c r="A427">
        <v>1066250</v>
      </c>
      <c r="B427" t="s">
        <v>2296</v>
      </c>
      <c r="C427" t="s">
        <v>2297</v>
      </c>
      <c r="D427" t="s">
        <v>255</v>
      </c>
      <c r="E427" t="s">
        <v>256</v>
      </c>
      <c r="F427">
        <v>2013</v>
      </c>
      <c r="G427" t="s">
        <v>797</v>
      </c>
      <c r="H427" t="s">
        <v>2298</v>
      </c>
      <c r="I427" t="s">
        <v>2299</v>
      </c>
      <c r="J427" t="s">
        <v>26</v>
      </c>
      <c r="K427" t="s">
        <v>48</v>
      </c>
      <c r="L427" t="b">
        <v>1</v>
      </c>
      <c r="N427" t="str">
        <f>"821.0080993"</f>
        <v>821.0080993</v>
      </c>
      <c r="P427" t="b">
        <v>0</v>
      </c>
      <c r="T427">
        <v>926047421</v>
      </c>
    </row>
    <row r="428" spans="1:20" x14ac:dyDescent="0.25">
      <c r="A428">
        <v>1066174</v>
      </c>
      <c r="B428" t="s">
        <v>2300</v>
      </c>
      <c r="D428" t="s">
        <v>255</v>
      </c>
      <c r="E428" t="s">
        <v>256</v>
      </c>
      <c r="F428">
        <v>2013</v>
      </c>
      <c r="G428" t="s">
        <v>2301</v>
      </c>
      <c r="H428" t="s">
        <v>2302</v>
      </c>
      <c r="I428" t="s">
        <v>2303</v>
      </c>
      <c r="J428" t="s">
        <v>26</v>
      </c>
      <c r="K428" t="s">
        <v>27</v>
      </c>
      <c r="L428" t="b">
        <v>1</v>
      </c>
      <c r="N428" t="str">
        <f>"821.3"</f>
        <v>821.3</v>
      </c>
      <c r="P428" t="b">
        <v>0</v>
      </c>
      <c r="S428" t="str">
        <f>"9781775585299"</f>
        <v>9781775585299</v>
      </c>
      <c r="T428">
        <v>926705954</v>
      </c>
    </row>
    <row r="429" spans="1:20" x14ac:dyDescent="0.25">
      <c r="A429">
        <v>1066069</v>
      </c>
      <c r="B429" t="s">
        <v>2304</v>
      </c>
      <c r="C429" t="s">
        <v>2305</v>
      </c>
      <c r="D429" t="s">
        <v>255</v>
      </c>
      <c r="E429" t="s">
        <v>256</v>
      </c>
      <c r="F429">
        <v>2014</v>
      </c>
      <c r="G429" t="s">
        <v>2301</v>
      </c>
      <c r="H429" t="s">
        <v>2306</v>
      </c>
      <c r="I429" t="s">
        <v>2307</v>
      </c>
      <c r="J429" t="s">
        <v>26</v>
      </c>
      <c r="K429" t="s">
        <v>86</v>
      </c>
      <c r="L429" t="b">
        <v>1</v>
      </c>
      <c r="M429" t="s">
        <v>2308</v>
      </c>
      <c r="N429" t="str">
        <f>"NZ821.0080899442"</f>
        <v>NZ821.0080899442</v>
      </c>
      <c r="P429" t="b">
        <v>0</v>
      </c>
      <c r="S429" t="str">
        <f>"9781775587491"</f>
        <v>9781775587491</v>
      </c>
      <c r="T429">
        <v>926705581</v>
      </c>
    </row>
    <row r="430" spans="1:20" x14ac:dyDescent="0.25">
      <c r="A430">
        <v>1066067</v>
      </c>
      <c r="B430" t="s">
        <v>2309</v>
      </c>
      <c r="D430" t="s">
        <v>255</v>
      </c>
      <c r="E430" t="s">
        <v>256</v>
      </c>
      <c r="F430">
        <v>2014</v>
      </c>
      <c r="G430" t="s">
        <v>2310</v>
      </c>
      <c r="H430" t="s">
        <v>2311</v>
      </c>
      <c r="I430" t="s">
        <v>2312</v>
      </c>
      <c r="J430" t="s">
        <v>26</v>
      </c>
      <c r="K430" t="s">
        <v>86</v>
      </c>
      <c r="L430" t="b">
        <v>1</v>
      </c>
      <c r="M430" t="s">
        <v>2313</v>
      </c>
      <c r="N430" t="str">
        <f>"821.92"</f>
        <v>821.92</v>
      </c>
      <c r="P430" t="b">
        <v>0</v>
      </c>
      <c r="S430" t="str">
        <f>"9781775587552"</f>
        <v>9781775587552</v>
      </c>
      <c r="T430">
        <v>900006738</v>
      </c>
    </row>
    <row r="431" spans="1:20" x14ac:dyDescent="0.25">
      <c r="A431">
        <v>1065978</v>
      </c>
      <c r="B431" t="s">
        <v>2314</v>
      </c>
      <c r="C431" t="s">
        <v>2315</v>
      </c>
      <c r="D431" t="s">
        <v>255</v>
      </c>
      <c r="E431" t="s">
        <v>256</v>
      </c>
      <c r="F431">
        <v>2015</v>
      </c>
      <c r="G431" t="s">
        <v>571</v>
      </c>
      <c r="H431" t="s">
        <v>2316</v>
      </c>
      <c r="I431" t="s">
        <v>2317</v>
      </c>
      <c r="J431" t="s">
        <v>26</v>
      </c>
      <c r="K431" t="s">
        <v>86</v>
      </c>
      <c r="L431" t="b">
        <v>1</v>
      </c>
      <c r="M431" t="s">
        <v>2318</v>
      </c>
      <c r="N431" t="str">
        <f>"370.89/99442"</f>
        <v>370.89/99442</v>
      </c>
      <c r="P431" t="b">
        <v>0</v>
      </c>
      <c r="S431" t="str">
        <f>"9781775587675"</f>
        <v>9781775587675</v>
      </c>
      <c r="T431">
        <v>911390863</v>
      </c>
    </row>
    <row r="432" spans="1:20" x14ac:dyDescent="0.25">
      <c r="A432">
        <v>1065927</v>
      </c>
      <c r="B432" t="s">
        <v>2319</v>
      </c>
      <c r="C432" t="s">
        <v>2320</v>
      </c>
      <c r="D432" t="s">
        <v>255</v>
      </c>
      <c r="E432" t="s">
        <v>256</v>
      </c>
      <c r="F432">
        <v>2014</v>
      </c>
      <c r="G432" t="s">
        <v>2321</v>
      </c>
      <c r="H432" t="s">
        <v>2322</v>
      </c>
      <c r="I432" t="s">
        <v>2323</v>
      </c>
      <c r="J432" t="s">
        <v>26</v>
      </c>
      <c r="K432" t="s">
        <v>86</v>
      </c>
      <c r="L432" t="b">
        <v>1</v>
      </c>
      <c r="M432" t="s">
        <v>2324</v>
      </c>
      <c r="N432" t="str">
        <f>"305.8"</f>
        <v>305.8</v>
      </c>
      <c r="P432" t="b">
        <v>0</v>
      </c>
      <c r="S432" t="str">
        <f>"9781775587163"</f>
        <v>9781775587163</v>
      </c>
      <c r="T432">
        <v>891137259</v>
      </c>
    </row>
    <row r="433" spans="1:20" x14ac:dyDescent="0.25">
      <c r="A433">
        <v>1065607</v>
      </c>
      <c r="B433" t="s">
        <v>2325</v>
      </c>
      <c r="D433" t="s">
        <v>255</v>
      </c>
      <c r="E433" t="s">
        <v>256</v>
      </c>
      <c r="F433">
        <v>2015</v>
      </c>
      <c r="G433" t="s">
        <v>2310</v>
      </c>
      <c r="H433" t="s">
        <v>2326</v>
      </c>
      <c r="I433" t="s">
        <v>2312</v>
      </c>
      <c r="J433" t="s">
        <v>26</v>
      </c>
      <c r="K433" t="s">
        <v>86</v>
      </c>
      <c r="L433" t="b">
        <v>1</v>
      </c>
      <c r="M433" t="s">
        <v>2327</v>
      </c>
      <c r="N433" t="str">
        <f>"821.914"</f>
        <v>821.914</v>
      </c>
      <c r="P433" t="b">
        <v>0</v>
      </c>
      <c r="S433" t="str">
        <f>"9781775587590"</f>
        <v>9781775587590</v>
      </c>
      <c r="T433">
        <v>894554994</v>
      </c>
    </row>
    <row r="434" spans="1:20" x14ac:dyDescent="0.25">
      <c r="A434">
        <v>1064294</v>
      </c>
      <c r="B434" t="s">
        <v>2328</v>
      </c>
      <c r="D434" t="s">
        <v>131</v>
      </c>
      <c r="E434" t="s">
        <v>2329</v>
      </c>
      <c r="F434">
        <v>2015</v>
      </c>
      <c r="G434" t="s">
        <v>2330</v>
      </c>
      <c r="H434" t="s">
        <v>2331</v>
      </c>
      <c r="I434" t="s">
        <v>2332</v>
      </c>
      <c r="J434" t="s">
        <v>26</v>
      </c>
      <c r="K434" t="s">
        <v>48</v>
      </c>
      <c r="L434" t="b">
        <v>1</v>
      </c>
      <c r="M434" t="s">
        <v>2333</v>
      </c>
      <c r="N434" t="str">
        <f>"709.45/51109024"</f>
        <v>709.45/51109024</v>
      </c>
      <c r="P434" t="b">
        <v>0</v>
      </c>
      <c r="Q434" t="b">
        <v>0</v>
      </c>
      <c r="R434" t="str">
        <f>"9780789211927"</f>
        <v>9780789211927</v>
      </c>
      <c r="S434" t="str">
        <f>"9780789260505"</f>
        <v>9780789260505</v>
      </c>
      <c r="T434">
        <v>925332494</v>
      </c>
    </row>
    <row r="435" spans="1:20" x14ac:dyDescent="0.25">
      <c r="A435">
        <v>1061085</v>
      </c>
      <c r="B435" t="s">
        <v>2334</v>
      </c>
      <c r="D435" t="s">
        <v>1364</v>
      </c>
      <c r="E435" t="s">
        <v>1364</v>
      </c>
      <c r="F435">
        <v>2015</v>
      </c>
      <c r="G435" t="s">
        <v>2335</v>
      </c>
      <c r="H435" t="s">
        <v>2336</v>
      </c>
      <c r="I435" t="s">
        <v>2337</v>
      </c>
      <c r="J435" t="s">
        <v>26</v>
      </c>
      <c r="K435" t="s">
        <v>86</v>
      </c>
      <c r="L435" t="b">
        <v>1</v>
      </c>
      <c r="M435" t="s">
        <v>2338</v>
      </c>
      <c r="N435" t="str">
        <f>"305.892/4043"</f>
        <v>305.892/4043</v>
      </c>
      <c r="O435" t="s">
        <v>2339</v>
      </c>
      <c r="P435" t="b">
        <v>0</v>
      </c>
      <c r="R435" t="str">
        <f>"9783110372939"</f>
        <v>9783110372939</v>
      </c>
      <c r="S435" t="str">
        <f>"9783110367195"</f>
        <v>9783110367195</v>
      </c>
      <c r="T435">
        <v>920823242</v>
      </c>
    </row>
    <row r="436" spans="1:20" x14ac:dyDescent="0.25">
      <c r="A436">
        <v>1059337</v>
      </c>
      <c r="B436" t="s">
        <v>2340</v>
      </c>
      <c r="C436" t="s">
        <v>2341</v>
      </c>
      <c r="D436" t="s">
        <v>240</v>
      </c>
      <c r="E436" t="s">
        <v>1625</v>
      </c>
      <c r="F436">
        <v>2010</v>
      </c>
      <c r="G436" t="s">
        <v>182</v>
      </c>
      <c r="H436" t="s">
        <v>2342</v>
      </c>
      <c r="I436" t="s">
        <v>2343</v>
      </c>
      <c r="J436" t="s">
        <v>26</v>
      </c>
      <c r="K436" t="s">
        <v>27</v>
      </c>
      <c r="L436" t="b">
        <v>1</v>
      </c>
      <c r="M436" t="s">
        <v>2344</v>
      </c>
      <c r="N436" t="str">
        <f>"363.12/465"</f>
        <v>363.12/465</v>
      </c>
      <c r="P436" t="b">
        <v>0</v>
      </c>
      <c r="R436" t="str">
        <f>"9781584658979"</f>
        <v>9781584658979</v>
      </c>
      <c r="S436" t="str">
        <f>"9781611688153"</f>
        <v>9781611688153</v>
      </c>
      <c r="T436">
        <v>919720406</v>
      </c>
    </row>
    <row r="437" spans="1:20" x14ac:dyDescent="0.25">
      <c r="A437">
        <v>1059326</v>
      </c>
      <c r="B437" t="s">
        <v>2345</v>
      </c>
      <c r="C437" t="s">
        <v>2346</v>
      </c>
      <c r="D437" t="s">
        <v>2347</v>
      </c>
      <c r="E437" t="s">
        <v>2348</v>
      </c>
      <c r="F437">
        <v>2015</v>
      </c>
      <c r="G437" t="s">
        <v>257</v>
      </c>
      <c r="H437" t="s">
        <v>2349</v>
      </c>
      <c r="I437" t="s">
        <v>2350</v>
      </c>
      <c r="J437" t="s">
        <v>26</v>
      </c>
      <c r="K437" t="s">
        <v>27</v>
      </c>
      <c r="L437" t="b">
        <v>1</v>
      </c>
      <c r="M437" t="s">
        <v>2351</v>
      </c>
      <c r="N437" t="str">
        <f>"365/.973"</f>
        <v>365/.973</v>
      </c>
      <c r="O437" t="s">
        <v>2352</v>
      </c>
      <c r="P437" t="b">
        <v>0</v>
      </c>
      <c r="R437" t="str">
        <f>"9781555538460"</f>
        <v>9781555538460</v>
      </c>
      <c r="S437" t="str">
        <f>"9781555538484"</f>
        <v>9781555538484</v>
      </c>
      <c r="T437">
        <v>909948099</v>
      </c>
    </row>
    <row r="438" spans="1:20" x14ac:dyDescent="0.25">
      <c r="A438">
        <v>1059325</v>
      </c>
      <c r="B438" t="s">
        <v>2353</v>
      </c>
      <c r="C438" t="s">
        <v>2354</v>
      </c>
      <c r="D438" t="s">
        <v>2347</v>
      </c>
      <c r="E438" t="s">
        <v>2348</v>
      </c>
      <c r="F438">
        <v>2015</v>
      </c>
      <c r="G438" t="s">
        <v>2355</v>
      </c>
      <c r="H438" t="s">
        <v>2356</v>
      </c>
      <c r="I438" t="s">
        <v>2357</v>
      </c>
      <c r="J438" t="s">
        <v>26</v>
      </c>
      <c r="K438" t="s">
        <v>27</v>
      </c>
      <c r="L438" t="b">
        <v>1</v>
      </c>
      <c r="M438" t="s">
        <v>2358</v>
      </c>
      <c r="N438" t="str">
        <f>"780.92"</f>
        <v>780.92</v>
      </c>
      <c r="P438" t="b">
        <v>0</v>
      </c>
      <c r="R438" t="str">
        <f>"9781555537890"</f>
        <v>9781555537890</v>
      </c>
      <c r="S438" t="str">
        <f>"9781555538453"</f>
        <v>9781555538453</v>
      </c>
      <c r="T438">
        <v>919719642</v>
      </c>
    </row>
    <row r="439" spans="1:20" x14ac:dyDescent="0.25">
      <c r="A439">
        <v>1056674</v>
      </c>
      <c r="B439" t="s">
        <v>2359</v>
      </c>
      <c r="C439" t="s">
        <v>2360</v>
      </c>
      <c r="D439" t="s">
        <v>131</v>
      </c>
      <c r="E439" t="s">
        <v>1737</v>
      </c>
      <c r="F439">
        <v>2015</v>
      </c>
      <c r="G439" t="s">
        <v>2361</v>
      </c>
      <c r="H439" t="s">
        <v>2362</v>
      </c>
      <c r="I439" t="s">
        <v>2363</v>
      </c>
      <c r="J439" t="s">
        <v>26</v>
      </c>
      <c r="K439" t="s">
        <v>86</v>
      </c>
      <c r="L439" t="b">
        <v>1</v>
      </c>
      <c r="M439" t="s">
        <v>2364</v>
      </c>
      <c r="N439" t="str">
        <f>"638/.1"</f>
        <v>638/.1</v>
      </c>
      <c r="P439" t="b">
        <v>0</v>
      </c>
      <c r="Q439" t="b">
        <v>0</v>
      </c>
      <c r="R439" t="str">
        <f>"9781771640992"</f>
        <v>9781771640992</v>
      </c>
      <c r="S439" t="str">
        <f>"9781771641005"</f>
        <v>9781771641005</v>
      </c>
      <c r="T439">
        <v>916583644</v>
      </c>
    </row>
    <row r="440" spans="1:20" x14ac:dyDescent="0.25">
      <c r="A440">
        <v>1055735</v>
      </c>
      <c r="B440" t="s">
        <v>2365</v>
      </c>
      <c r="C440" t="s">
        <v>2366</v>
      </c>
      <c r="D440" t="s">
        <v>1364</v>
      </c>
      <c r="E440" t="s">
        <v>1365</v>
      </c>
      <c r="F440">
        <v>2015</v>
      </c>
      <c r="G440" t="s">
        <v>1721</v>
      </c>
      <c r="H440" t="s">
        <v>2367</v>
      </c>
      <c r="I440" t="s">
        <v>2368</v>
      </c>
      <c r="J440" t="s">
        <v>26</v>
      </c>
      <c r="K440" t="s">
        <v>86</v>
      </c>
      <c r="L440" t="b">
        <v>1</v>
      </c>
      <c r="M440" t="s">
        <v>2369</v>
      </c>
      <c r="N440" t="str">
        <f>"341.2"</f>
        <v>341.2</v>
      </c>
      <c r="P440" t="b">
        <v>0</v>
      </c>
      <c r="R440" t="str">
        <f>"9783110427776"</f>
        <v>9783110427776</v>
      </c>
      <c r="S440" t="str">
        <f>"9783110424812"</f>
        <v>9783110424812</v>
      </c>
      <c r="T440">
        <v>933293520</v>
      </c>
    </row>
    <row r="441" spans="1:20" x14ac:dyDescent="0.25">
      <c r="A441">
        <v>1055381</v>
      </c>
      <c r="B441" t="s">
        <v>2370</v>
      </c>
      <c r="D441" t="s">
        <v>22</v>
      </c>
      <c r="E441" t="s">
        <v>22</v>
      </c>
      <c r="F441">
        <v>2015</v>
      </c>
      <c r="G441" t="s">
        <v>57</v>
      </c>
      <c r="H441" t="s">
        <v>2371</v>
      </c>
      <c r="I441" t="s">
        <v>2372</v>
      </c>
      <c r="J441" t="s">
        <v>26</v>
      </c>
      <c r="K441" t="s">
        <v>27</v>
      </c>
      <c r="L441" t="b">
        <v>1</v>
      </c>
      <c r="M441" t="s">
        <v>2373</v>
      </c>
      <c r="N441" t="str">
        <f>"300"</f>
        <v>300</v>
      </c>
      <c r="O441" t="s">
        <v>191</v>
      </c>
      <c r="P441" t="b">
        <v>0</v>
      </c>
      <c r="Q441" t="b">
        <v>0</v>
      </c>
      <c r="R441" t="str">
        <f>"9789089647085"</f>
        <v>9789089647085</v>
      </c>
      <c r="S441" t="str">
        <f>"9789048524235"</f>
        <v>9789048524235</v>
      </c>
      <c r="T441">
        <v>919236490</v>
      </c>
    </row>
    <row r="442" spans="1:20" x14ac:dyDescent="0.25">
      <c r="A442">
        <v>1055380</v>
      </c>
      <c r="B442" t="s">
        <v>2374</v>
      </c>
      <c r="D442" t="s">
        <v>22</v>
      </c>
      <c r="E442" t="s">
        <v>22</v>
      </c>
      <c r="F442">
        <v>2015</v>
      </c>
      <c r="G442" t="s">
        <v>57</v>
      </c>
      <c r="H442" t="s">
        <v>2375</v>
      </c>
      <c r="I442" t="s">
        <v>2376</v>
      </c>
      <c r="J442" t="s">
        <v>26</v>
      </c>
      <c r="K442" t="s">
        <v>27</v>
      </c>
      <c r="L442" t="b">
        <v>1</v>
      </c>
      <c r="M442" t="s">
        <v>2377</v>
      </c>
      <c r="N442" t="str">
        <f>"320"</f>
        <v>320</v>
      </c>
      <c r="O442" t="s">
        <v>191</v>
      </c>
      <c r="P442" t="b">
        <v>0</v>
      </c>
      <c r="Q442" t="b">
        <v>0</v>
      </c>
      <c r="R442" t="str">
        <f>"9789089647801"</f>
        <v>9789089647801</v>
      </c>
      <c r="S442" t="str">
        <f>"9789048525805"</f>
        <v>9789048525805</v>
      </c>
      <c r="T442">
        <v>919236491</v>
      </c>
    </row>
    <row r="443" spans="1:20" x14ac:dyDescent="0.25">
      <c r="A443">
        <v>1055379</v>
      </c>
      <c r="B443" t="s">
        <v>2378</v>
      </c>
      <c r="D443" t="s">
        <v>22</v>
      </c>
      <c r="E443" t="s">
        <v>22</v>
      </c>
      <c r="F443">
        <v>2015</v>
      </c>
      <c r="G443" t="s">
        <v>1649</v>
      </c>
      <c r="H443" t="s">
        <v>2379</v>
      </c>
      <c r="I443" t="s">
        <v>2380</v>
      </c>
      <c r="J443" t="s">
        <v>26</v>
      </c>
      <c r="K443" t="s">
        <v>27</v>
      </c>
      <c r="L443" t="b">
        <v>1</v>
      </c>
      <c r="M443" t="s">
        <v>2381</v>
      </c>
      <c r="N443" t="str">
        <f>"361.943"</f>
        <v>361.943</v>
      </c>
      <c r="O443" t="s">
        <v>1619</v>
      </c>
      <c r="P443" t="b">
        <v>0</v>
      </c>
      <c r="Q443" t="b">
        <v>0</v>
      </c>
      <c r="R443" t="str">
        <f>"9789089646774"</f>
        <v>9789089646774</v>
      </c>
      <c r="S443" t="str">
        <f>"9789048523658"</f>
        <v>9789048523658</v>
      </c>
      <c r="T443">
        <v>919316276</v>
      </c>
    </row>
    <row r="444" spans="1:20" x14ac:dyDescent="0.25">
      <c r="A444">
        <v>1050472</v>
      </c>
      <c r="B444" t="s">
        <v>2382</v>
      </c>
      <c r="D444" t="s">
        <v>91</v>
      </c>
      <c r="E444" t="s">
        <v>92</v>
      </c>
      <c r="F444">
        <v>2015</v>
      </c>
      <c r="G444" t="s">
        <v>2383</v>
      </c>
      <c r="H444" t="s">
        <v>2384</v>
      </c>
      <c r="I444" t="s">
        <v>2385</v>
      </c>
      <c r="J444" t="s">
        <v>26</v>
      </c>
      <c r="K444" t="s">
        <v>86</v>
      </c>
      <c r="L444" t="b">
        <v>1</v>
      </c>
      <c r="M444" t="s">
        <v>2386</v>
      </c>
      <c r="N444" t="str">
        <f>"617.4/81"</f>
        <v>617.4/81</v>
      </c>
      <c r="P444" t="b">
        <v>0</v>
      </c>
      <c r="R444" t="str">
        <f>"9783131758514"</f>
        <v>9783131758514</v>
      </c>
      <c r="S444" t="str">
        <f>"9783131758613"</f>
        <v>9783131758613</v>
      </c>
      <c r="T444">
        <v>905959683</v>
      </c>
    </row>
    <row r="445" spans="1:20" x14ac:dyDescent="0.25">
      <c r="A445">
        <v>1046928</v>
      </c>
      <c r="B445" t="s">
        <v>2387</v>
      </c>
      <c r="C445" t="s">
        <v>2388</v>
      </c>
      <c r="D445" t="s">
        <v>131</v>
      </c>
      <c r="E445" t="s">
        <v>2389</v>
      </c>
      <c r="F445">
        <v>2009</v>
      </c>
      <c r="G445" t="s">
        <v>197</v>
      </c>
      <c r="H445" t="s">
        <v>2390</v>
      </c>
      <c r="I445" t="s">
        <v>2391</v>
      </c>
      <c r="J445" t="s">
        <v>26</v>
      </c>
      <c r="K445" t="s">
        <v>86</v>
      </c>
      <c r="L445" t="b">
        <v>1</v>
      </c>
      <c r="M445" t="s">
        <v>2392</v>
      </c>
      <c r="N445" t="str">
        <f>"801/.95092"</f>
        <v>801/.95092</v>
      </c>
      <c r="P445" t="b">
        <v>0</v>
      </c>
      <c r="R445" t="str">
        <f>"9780823230303"</f>
        <v>9780823230303</v>
      </c>
      <c r="S445" t="str">
        <f>"9780823237296"</f>
        <v>9780823237296</v>
      </c>
      <c r="T445">
        <v>647876405</v>
      </c>
    </row>
    <row r="446" spans="1:20" x14ac:dyDescent="0.25">
      <c r="A446">
        <v>1045406</v>
      </c>
      <c r="B446" t="s">
        <v>2393</v>
      </c>
      <c r="C446" t="s">
        <v>2394</v>
      </c>
      <c r="D446" t="s">
        <v>131</v>
      </c>
      <c r="E446" t="s">
        <v>2389</v>
      </c>
      <c r="F446">
        <v>2012</v>
      </c>
      <c r="G446" t="s">
        <v>2395</v>
      </c>
      <c r="H446" t="s">
        <v>2396</v>
      </c>
      <c r="I446" t="s">
        <v>2397</v>
      </c>
      <c r="J446" t="s">
        <v>26</v>
      </c>
      <c r="K446" t="s">
        <v>86</v>
      </c>
      <c r="L446" t="b">
        <v>1</v>
      </c>
      <c r="M446" t="s">
        <v>2398</v>
      </c>
      <c r="N446" t="str">
        <f>"850.8/0973"</f>
        <v>850.8/0973</v>
      </c>
      <c r="P446" t="b">
        <v>0</v>
      </c>
      <c r="R446" t="str">
        <f>"9780823239733"</f>
        <v>9780823239733</v>
      </c>
      <c r="S446" t="str">
        <f>"9780823245734"</f>
        <v>9780823245734</v>
      </c>
      <c r="T446">
        <v>821901522</v>
      </c>
    </row>
    <row r="447" spans="1:20" x14ac:dyDescent="0.25">
      <c r="A447">
        <v>1045332</v>
      </c>
      <c r="B447" t="s">
        <v>2399</v>
      </c>
      <c r="D447" t="s">
        <v>131</v>
      </c>
      <c r="E447" t="s">
        <v>2389</v>
      </c>
      <c r="F447">
        <v>2008</v>
      </c>
      <c r="G447" t="s">
        <v>2400</v>
      </c>
      <c r="H447" t="s">
        <v>2401</v>
      </c>
      <c r="J447" t="s">
        <v>26</v>
      </c>
      <c r="K447" t="s">
        <v>86</v>
      </c>
      <c r="L447" t="b">
        <v>1</v>
      </c>
      <c r="M447" t="s">
        <v>2402</v>
      </c>
      <c r="N447" t="str">
        <f>"150.19/5092"</f>
        <v>150.19/5092</v>
      </c>
      <c r="P447" t="b">
        <v>0</v>
      </c>
      <c r="R447" t="str">
        <f>"9780823227662"</f>
        <v>9780823227662</v>
      </c>
      <c r="S447" t="str">
        <f>"9780823237845"</f>
        <v>9780823237845</v>
      </c>
      <c r="T447">
        <v>647876486</v>
      </c>
    </row>
    <row r="448" spans="1:20" x14ac:dyDescent="0.25">
      <c r="A448">
        <v>1045329</v>
      </c>
      <c r="B448" t="s">
        <v>2403</v>
      </c>
      <c r="C448" t="s">
        <v>2404</v>
      </c>
      <c r="D448" t="s">
        <v>131</v>
      </c>
      <c r="E448" t="s">
        <v>2405</v>
      </c>
      <c r="F448">
        <v>2013</v>
      </c>
      <c r="G448" t="s">
        <v>2406</v>
      </c>
      <c r="H448" t="s">
        <v>2407</v>
      </c>
      <c r="I448" t="s">
        <v>2408</v>
      </c>
      <c r="J448" t="s">
        <v>26</v>
      </c>
      <c r="K448" t="s">
        <v>86</v>
      </c>
      <c r="L448" t="b">
        <v>1</v>
      </c>
      <c r="M448" t="s">
        <v>2409</v>
      </c>
      <c r="N448" t="str">
        <f>"325/.3"</f>
        <v>325/.3</v>
      </c>
      <c r="P448" t="b">
        <v>0</v>
      </c>
      <c r="R448" t="str">
        <f>"9780823251803"</f>
        <v>9780823251803</v>
      </c>
      <c r="S448" t="str">
        <f>"9780823252169"</f>
        <v>9780823252169</v>
      </c>
      <c r="T448">
        <v>915134903</v>
      </c>
    </row>
    <row r="449" spans="1:20" x14ac:dyDescent="0.25">
      <c r="A449">
        <v>1045328</v>
      </c>
      <c r="B449" t="s">
        <v>2410</v>
      </c>
      <c r="C449" t="s">
        <v>2411</v>
      </c>
      <c r="D449" t="s">
        <v>131</v>
      </c>
      <c r="E449" t="s">
        <v>2389</v>
      </c>
      <c r="F449">
        <v>2008</v>
      </c>
      <c r="G449" t="s">
        <v>1026</v>
      </c>
      <c r="H449" t="s">
        <v>2412</v>
      </c>
      <c r="I449" t="s">
        <v>2413</v>
      </c>
      <c r="J449" t="s">
        <v>26</v>
      </c>
      <c r="K449" t="s">
        <v>86</v>
      </c>
      <c r="L449" t="b">
        <v>1</v>
      </c>
      <c r="M449" t="s">
        <v>2414</v>
      </c>
      <c r="N449" t="str">
        <f>"820.9/15"</f>
        <v>820.9/15</v>
      </c>
      <c r="P449" t="b">
        <v>0</v>
      </c>
      <c r="R449" t="str">
        <f>"9780823228478"</f>
        <v>9780823228478</v>
      </c>
      <c r="S449" t="str">
        <f>"9780823238132"</f>
        <v>9780823238132</v>
      </c>
      <c r="T449">
        <v>915134902</v>
      </c>
    </row>
    <row r="450" spans="1:20" x14ac:dyDescent="0.25">
      <c r="A450">
        <v>1045325</v>
      </c>
      <c r="B450" t="s">
        <v>2415</v>
      </c>
      <c r="C450" t="s">
        <v>2416</v>
      </c>
      <c r="D450" t="s">
        <v>131</v>
      </c>
      <c r="E450" t="s">
        <v>2405</v>
      </c>
      <c r="F450">
        <v>2009</v>
      </c>
      <c r="G450" t="s">
        <v>2417</v>
      </c>
      <c r="H450" t="s">
        <v>2418</v>
      </c>
      <c r="I450" t="s">
        <v>2419</v>
      </c>
      <c r="J450" t="s">
        <v>26</v>
      </c>
      <c r="K450" t="s">
        <v>86</v>
      </c>
      <c r="L450" t="b">
        <v>1</v>
      </c>
      <c r="M450" t="s">
        <v>2420</v>
      </c>
      <c r="N450" t="str">
        <f>"810.9/3529"</f>
        <v>810.9/3529</v>
      </c>
      <c r="P450" t="b">
        <v>0</v>
      </c>
      <c r="R450" t="str">
        <f>"9780823230426"</f>
        <v>9780823230426</v>
      </c>
      <c r="S450" t="str">
        <f>"9780823237326"</f>
        <v>9780823237326</v>
      </c>
      <c r="T450">
        <v>647876525</v>
      </c>
    </row>
    <row r="451" spans="1:20" x14ac:dyDescent="0.25">
      <c r="A451">
        <v>1045322</v>
      </c>
      <c r="B451" t="s">
        <v>2421</v>
      </c>
      <c r="C451" t="s">
        <v>2422</v>
      </c>
      <c r="D451" t="s">
        <v>131</v>
      </c>
      <c r="E451" t="s">
        <v>2389</v>
      </c>
      <c r="F451">
        <v>2009</v>
      </c>
      <c r="G451" t="s">
        <v>23</v>
      </c>
      <c r="H451" t="s">
        <v>2423</v>
      </c>
      <c r="I451" t="s">
        <v>2424</v>
      </c>
      <c r="J451" t="s">
        <v>26</v>
      </c>
      <c r="K451" t="s">
        <v>86</v>
      </c>
      <c r="L451" t="b">
        <v>1</v>
      </c>
      <c r="M451" t="s">
        <v>2425</v>
      </c>
      <c r="N451" t="str">
        <f>"191"</f>
        <v>191</v>
      </c>
      <c r="O451" t="s">
        <v>2426</v>
      </c>
      <c r="P451" t="b">
        <v>0</v>
      </c>
      <c r="R451" t="str">
        <f>"9780823230877"</f>
        <v>9780823230877</v>
      </c>
      <c r="S451" t="str">
        <f>"9780823238187"</f>
        <v>9780823238187</v>
      </c>
      <c r="T451">
        <v>647876483</v>
      </c>
    </row>
    <row r="452" spans="1:20" x14ac:dyDescent="0.25">
      <c r="A452">
        <v>1045319</v>
      </c>
      <c r="B452" t="s">
        <v>2427</v>
      </c>
      <c r="D452" t="s">
        <v>131</v>
      </c>
      <c r="E452" t="s">
        <v>2389</v>
      </c>
      <c r="F452">
        <v>2012</v>
      </c>
      <c r="G452" t="s">
        <v>2428</v>
      </c>
      <c r="H452" t="s">
        <v>2429</v>
      </c>
      <c r="I452" t="s">
        <v>2430</v>
      </c>
      <c r="J452" t="s">
        <v>26</v>
      </c>
      <c r="K452" t="s">
        <v>86</v>
      </c>
      <c r="L452" t="b">
        <v>1</v>
      </c>
      <c r="M452" t="s">
        <v>2431</v>
      </c>
      <c r="N452" t="str">
        <f>"809.9335"</f>
        <v>809.9335</v>
      </c>
      <c r="P452" t="b">
        <v>0</v>
      </c>
      <c r="R452" t="str">
        <f>"9780823242252"</f>
        <v>9780823242252</v>
      </c>
      <c r="S452" t="str">
        <f>"9780823242276"</f>
        <v>9780823242276</v>
      </c>
      <c r="T452">
        <v>915135052</v>
      </c>
    </row>
    <row r="453" spans="1:20" x14ac:dyDescent="0.25">
      <c r="A453">
        <v>1045316</v>
      </c>
      <c r="B453" t="s">
        <v>2432</v>
      </c>
      <c r="C453" t="s">
        <v>2433</v>
      </c>
      <c r="D453" t="s">
        <v>131</v>
      </c>
      <c r="E453" t="s">
        <v>2389</v>
      </c>
      <c r="F453">
        <v>2009</v>
      </c>
      <c r="G453" t="s">
        <v>509</v>
      </c>
      <c r="H453" t="s">
        <v>2434</v>
      </c>
      <c r="I453" t="s">
        <v>2435</v>
      </c>
      <c r="J453" t="s">
        <v>26</v>
      </c>
      <c r="K453" t="s">
        <v>86</v>
      </c>
      <c r="L453" t="b">
        <v>1</v>
      </c>
      <c r="M453" t="s">
        <v>2436</v>
      </c>
      <c r="N453" t="str">
        <f>"801"</f>
        <v>801</v>
      </c>
      <c r="P453" t="b">
        <v>0</v>
      </c>
      <c r="R453" t="str">
        <f>"9780823230006"</f>
        <v>9780823230006</v>
      </c>
      <c r="S453" t="str">
        <f>"9780823237753"</f>
        <v>9780823237753</v>
      </c>
      <c r="T453">
        <v>915134884</v>
      </c>
    </row>
    <row r="454" spans="1:20" x14ac:dyDescent="0.25">
      <c r="A454">
        <v>1045315</v>
      </c>
      <c r="B454" t="s">
        <v>2437</v>
      </c>
      <c r="C454" t="s">
        <v>2438</v>
      </c>
      <c r="D454" t="s">
        <v>131</v>
      </c>
      <c r="E454" t="s">
        <v>2439</v>
      </c>
      <c r="F454">
        <v>2012</v>
      </c>
      <c r="G454" t="s">
        <v>509</v>
      </c>
      <c r="H454" t="s">
        <v>2440</v>
      </c>
      <c r="J454" t="s">
        <v>26</v>
      </c>
      <c r="K454" t="s">
        <v>86</v>
      </c>
      <c r="L454" t="b">
        <v>1</v>
      </c>
      <c r="M454" t="s">
        <v>2441</v>
      </c>
      <c r="N454" t="str">
        <f>"193"</f>
        <v>193</v>
      </c>
      <c r="P454" t="b">
        <v>0</v>
      </c>
      <c r="R454" t="str">
        <f>"9780823245369"</f>
        <v>9780823245369</v>
      </c>
      <c r="S454" t="str">
        <f>"9780823245390"</f>
        <v>9780823245390</v>
      </c>
      <c r="T454">
        <v>830023503</v>
      </c>
    </row>
    <row r="455" spans="1:20" x14ac:dyDescent="0.25">
      <c r="A455">
        <v>1045311</v>
      </c>
      <c r="B455" t="s">
        <v>2442</v>
      </c>
      <c r="C455" t="s">
        <v>2443</v>
      </c>
      <c r="D455" t="s">
        <v>131</v>
      </c>
      <c r="E455" t="s">
        <v>2389</v>
      </c>
      <c r="F455">
        <v>2011</v>
      </c>
      <c r="G455" t="s">
        <v>2444</v>
      </c>
      <c r="H455" t="s">
        <v>2445</v>
      </c>
      <c r="I455" t="s">
        <v>2446</v>
      </c>
      <c r="J455" t="s">
        <v>26</v>
      </c>
      <c r="K455" t="s">
        <v>86</v>
      </c>
      <c r="L455" t="b">
        <v>1</v>
      </c>
      <c r="M455" t="s">
        <v>2447</v>
      </c>
      <c r="N455" t="str">
        <f>"373.749/32"</f>
        <v>373.749/32</v>
      </c>
      <c r="P455" t="b">
        <v>0</v>
      </c>
      <c r="R455" t="str">
        <f>"9780823233106"</f>
        <v>9780823233106</v>
      </c>
      <c r="S455" t="str">
        <f>"9780823237944"</f>
        <v>9780823237944</v>
      </c>
      <c r="T455">
        <v>915134705</v>
      </c>
    </row>
    <row r="456" spans="1:20" x14ac:dyDescent="0.25">
      <c r="A456">
        <v>1045310</v>
      </c>
      <c r="B456" t="s">
        <v>2448</v>
      </c>
      <c r="C456" t="s">
        <v>2449</v>
      </c>
      <c r="D456" t="s">
        <v>131</v>
      </c>
      <c r="E456" t="s">
        <v>2389</v>
      </c>
      <c r="F456">
        <v>2009</v>
      </c>
      <c r="G456" t="s">
        <v>2417</v>
      </c>
      <c r="H456" t="s">
        <v>2450</v>
      </c>
      <c r="I456" t="s">
        <v>2451</v>
      </c>
      <c r="J456" t="s">
        <v>26</v>
      </c>
      <c r="K456" t="s">
        <v>86</v>
      </c>
      <c r="L456" t="b">
        <v>1</v>
      </c>
      <c r="M456" t="s">
        <v>2452</v>
      </c>
      <c r="N456" t="str">
        <f>"363.325"</f>
        <v>363.325</v>
      </c>
      <c r="P456" t="b">
        <v>0</v>
      </c>
      <c r="R456" t="str">
        <f>"9780823231232"</f>
        <v>9780823231232</v>
      </c>
      <c r="S456" t="str">
        <f>"9780823238583"</f>
        <v>9780823238583</v>
      </c>
      <c r="T456">
        <v>915134704</v>
      </c>
    </row>
    <row r="457" spans="1:20" x14ac:dyDescent="0.25">
      <c r="A457">
        <v>1045309</v>
      </c>
      <c r="B457" t="s">
        <v>2453</v>
      </c>
      <c r="C457" t="s">
        <v>2454</v>
      </c>
      <c r="D457" t="s">
        <v>131</v>
      </c>
      <c r="E457" t="s">
        <v>2389</v>
      </c>
      <c r="F457">
        <v>2007</v>
      </c>
      <c r="G457" t="s">
        <v>494</v>
      </c>
      <c r="H457" t="s">
        <v>2455</v>
      </c>
      <c r="I457" t="s">
        <v>2456</v>
      </c>
      <c r="J457" t="s">
        <v>26</v>
      </c>
      <c r="K457" t="s">
        <v>86</v>
      </c>
      <c r="L457" t="b">
        <v>1</v>
      </c>
      <c r="M457" t="s">
        <v>2457</v>
      </c>
      <c r="N457" t="str">
        <f>"848/.91409"</f>
        <v>848/.91409</v>
      </c>
      <c r="P457" t="b">
        <v>1</v>
      </c>
      <c r="R457" t="str">
        <f>"9780823227754"</f>
        <v>9780823227754</v>
      </c>
      <c r="S457" t="str">
        <f>"9780823237906"</f>
        <v>9780823237906</v>
      </c>
      <c r="T457">
        <v>607910750</v>
      </c>
    </row>
    <row r="458" spans="1:20" x14ac:dyDescent="0.25">
      <c r="A458">
        <v>1045306</v>
      </c>
      <c r="B458" t="s">
        <v>2458</v>
      </c>
      <c r="C458" t="s">
        <v>2459</v>
      </c>
      <c r="D458" t="s">
        <v>131</v>
      </c>
      <c r="E458" t="s">
        <v>2389</v>
      </c>
      <c r="F458">
        <v>2008</v>
      </c>
      <c r="G458" t="s">
        <v>2460</v>
      </c>
      <c r="H458" t="s">
        <v>2461</v>
      </c>
      <c r="I458" t="s">
        <v>2462</v>
      </c>
      <c r="J458" t="s">
        <v>26</v>
      </c>
      <c r="K458" t="s">
        <v>86</v>
      </c>
      <c r="L458" t="b">
        <v>1</v>
      </c>
      <c r="M458" t="s">
        <v>2463</v>
      </c>
      <c r="N458" t="str">
        <f>"230"</f>
        <v>230</v>
      </c>
      <c r="O458" t="s">
        <v>2426</v>
      </c>
      <c r="P458" t="b">
        <v>0</v>
      </c>
      <c r="R458" t="str">
        <f>"9780823228355"</f>
        <v>9780823228355</v>
      </c>
      <c r="S458" t="str">
        <f>"9780823237579"</f>
        <v>9780823237579</v>
      </c>
      <c r="T458">
        <v>915134701</v>
      </c>
    </row>
    <row r="459" spans="1:20" x14ac:dyDescent="0.25">
      <c r="A459">
        <v>1045303</v>
      </c>
      <c r="B459" t="s">
        <v>2464</v>
      </c>
      <c r="C459" t="s">
        <v>2465</v>
      </c>
      <c r="D459" t="s">
        <v>131</v>
      </c>
      <c r="E459" t="s">
        <v>2389</v>
      </c>
      <c r="F459">
        <v>2009</v>
      </c>
      <c r="G459" t="s">
        <v>197</v>
      </c>
      <c r="H459" t="s">
        <v>2466</v>
      </c>
      <c r="I459" t="s">
        <v>2467</v>
      </c>
      <c r="J459" t="s">
        <v>26</v>
      </c>
      <c r="K459" t="s">
        <v>86</v>
      </c>
      <c r="L459" t="b">
        <v>1</v>
      </c>
      <c r="M459" t="s">
        <v>2468</v>
      </c>
      <c r="N459" t="str">
        <f>"843/.9140996"</f>
        <v>843/.9140996</v>
      </c>
      <c r="P459" t="b">
        <v>0</v>
      </c>
      <c r="R459" t="str">
        <f>"9780823230488"</f>
        <v>9780823230488</v>
      </c>
      <c r="S459" t="str">
        <f>"9780823237999"</f>
        <v>9780823237999</v>
      </c>
      <c r="T459">
        <v>647876436</v>
      </c>
    </row>
    <row r="460" spans="1:20" x14ac:dyDescent="0.25">
      <c r="A460">
        <v>1045302</v>
      </c>
      <c r="B460" t="s">
        <v>2469</v>
      </c>
      <c r="C460" t="s">
        <v>2470</v>
      </c>
      <c r="D460" t="s">
        <v>131</v>
      </c>
      <c r="E460" t="s">
        <v>2389</v>
      </c>
      <c r="F460">
        <v>2007</v>
      </c>
      <c r="G460" t="s">
        <v>23</v>
      </c>
      <c r="H460" t="s">
        <v>2471</v>
      </c>
      <c r="I460" t="s">
        <v>2472</v>
      </c>
      <c r="J460" t="s">
        <v>26</v>
      </c>
      <c r="K460" t="s">
        <v>86</v>
      </c>
      <c r="L460" t="b">
        <v>1</v>
      </c>
      <c r="M460" t="s">
        <v>2473</v>
      </c>
      <c r="N460" t="str">
        <f>"128/.3"</f>
        <v>128/.3</v>
      </c>
      <c r="P460" t="b">
        <v>0</v>
      </c>
      <c r="R460" t="str">
        <f>"9780823225750"</f>
        <v>9780823225750</v>
      </c>
      <c r="S460" t="str">
        <f>"9780823238804"</f>
        <v>9780823238804</v>
      </c>
      <c r="T460">
        <v>915134875</v>
      </c>
    </row>
    <row r="461" spans="1:20" x14ac:dyDescent="0.25">
      <c r="A461">
        <v>1045301</v>
      </c>
      <c r="B461" t="s">
        <v>2474</v>
      </c>
      <c r="C461" t="s">
        <v>2475</v>
      </c>
      <c r="D461" t="s">
        <v>131</v>
      </c>
      <c r="E461" t="s">
        <v>2389</v>
      </c>
      <c r="F461">
        <v>2009</v>
      </c>
      <c r="G461" t="s">
        <v>2476</v>
      </c>
      <c r="H461" t="s">
        <v>2477</v>
      </c>
      <c r="I461" t="s">
        <v>2478</v>
      </c>
      <c r="J461" t="s">
        <v>26</v>
      </c>
      <c r="K461" t="s">
        <v>86</v>
      </c>
      <c r="L461" t="b">
        <v>1</v>
      </c>
      <c r="M461" t="s">
        <v>2479</v>
      </c>
      <c r="N461" t="str">
        <f>"230.01"</f>
        <v>230.01</v>
      </c>
      <c r="O461" t="s">
        <v>2426</v>
      </c>
      <c r="P461" t="b">
        <v>0</v>
      </c>
      <c r="R461" t="str">
        <f>"9780823230457"</f>
        <v>9780823230457</v>
      </c>
      <c r="S461" t="str">
        <f>"9780823237678"</f>
        <v>9780823237678</v>
      </c>
      <c r="T461">
        <v>915134874</v>
      </c>
    </row>
    <row r="462" spans="1:20" x14ac:dyDescent="0.25">
      <c r="A462">
        <v>1045297</v>
      </c>
      <c r="B462" t="s">
        <v>2480</v>
      </c>
      <c r="C462" t="s">
        <v>2481</v>
      </c>
      <c r="D462" t="s">
        <v>131</v>
      </c>
      <c r="E462" t="s">
        <v>2389</v>
      </c>
      <c r="F462">
        <v>2009</v>
      </c>
      <c r="G462" t="s">
        <v>2400</v>
      </c>
      <c r="H462" t="s">
        <v>2482</v>
      </c>
      <c r="I462" t="s">
        <v>2483</v>
      </c>
      <c r="J462" t="s">
        <v>26</v>
      </c>
      <c r="K462" t="s">
        <v>86</v>
      </c>
      <c r="L462" t="b">
        <v>1</v>
      </c>
      <c r="M462" t="s">
        <v>2484</v>
      </c>
      <c r="N462" t="str">
        <f>"809/.93592"</f>
        <v>809/.93592</v>
      </c>
      <c r="P462" t="b">
        <v>0</v>
      </c>
      <c r="R462" t="str">
        <f>"9780823230907"</f>
        <v>9780823230907</v>
      </c>
      <c r="S462" t="str">
        <f>"9780823238149"</f>
        <v>9780823238149</v>
      </c>
      <c r="T462">
        <v>662405164</v>
      </c>
    </row>
    <row r="463" spans="1:20" x14ac:dyDescent="0.25">
      <c r="A463">
        <v>1045294</v>
      </c>
      <c r="B463" t="s">
        <v>2485</v>
      </c>
      <c r="C463" t="s">
        <v>2486</v>
      </c>
      <c r="D463" t="s">
        <v>131</v>
      </c>
      <c r="E463" t="s">
        <v>2389</v>
      </c>
      <c r="F463">
        <v>2008</v>
      </c>
      <c r="G463" t="s">
        <v>2487</v>
      </c>
      <c r="H463" t="s">
        <v>2488</v>
      </c>
      <c r="I463" t="s">
        <v>2489</v>
      </c>
      <c r="J463" t="s">
        <v>26</v>
      </c>
      <c r="K463" t="s">
        <v>86</v>
      </c>
      <c r="L463" t="b">
        <v>1</v>
      </c>
      <c r="M463" t="s">
        <v>2490</v>
      </c>
      <c r="N463" t="str">
        <f>"001.3"</f>
        <v>001.3</v>
      </c>
      <c r="P463" t="b">
        <v>0</v>
      </c>
      <c r="R463" t="str">
        <f>"9780823229192"</f>
        <v>9780823229192</v>
      </c>
      <c r="S463" t="str">
        <f>"9780823237289"</f>
        <v>9780823237289</v>
      </c>
      <c r="T463">
        <v>915134862</v>
      </c>
    </row>
    <row r="464" spans="1:20" x14ac:dyDescent="0.25">
      <c r="A464">
        <v>1045292</v>
      </c>
      <c r="B464" t="s">
        <v>2491</v>
      </c>
      <c r="D464" t="s">
        <v>131</v>
      </c>
      <c r="E464" t="s">
        <v>2389</v>
      </c>
      <c r="F464">
        <v>2012</v>
      </c>
      <c r="G464" t="s">
        <v>856</v>
      </c>
      <c r="H464" t="s">
        <v>2492</v>
      </c>
      <c r="I464" t="s">
        <v>2493</v>
      </c>
      <c r="J464" t="s">
        <v>26</v>
      </c>
      <c r="K464" t="s">
        <v>86</v>
      </c>
      <c r="L464" t="b">
        <v>1</v>
      </c>
      <c r="M464" t="s">
        <v>2494</v>
      </c>
      <c r="N464" t="str">
        <f>"330.9/0511"</f>
        <v>330.9/0511</v>
      </c>
      <c r="P464" t="b">
        <v>0</v>
      </c>
      <c r="R464" t="str">
        <f>"9780823249602"</f>
        <v>9780823249602</v>
      </c>
      <c r="S464" t="str">
        <f>"9780823249633"</f>
        <v>9780823249633</v>
      </c>
      <c r="T464">
        <v>915134860</v>
      </c>
    </row>
    <row r="465" spans="1:20" x14ac:dyDescent="0.25">
      <c r="A465">
        <v>1045289</v>
      </c>
      <c r="B465" t="s">
        <v>2495</v>
      </c>
      <c r="C465" t="s">
        <v>2496</v>
      </c>
      <c r="D465" t="s">
        <v>131</v>
      </c>
      <c r="E465" t="s">
        <v>2439</v>
      </c>
      <c r="F465">
        <v>2013</v>
      </c>
      <c r="G465" t="s">
        <v>2497</v>
      </c>
      <c r="H465" t="s">
        <v>2498</v>
      </c>
      <c r="I465" t="s">
        <v>2499</v>
      </c>
      <c r="J465" t="s">
        <v>26</v>
      </c>
      <c r="K465" t="s">
        <v>86</v>
      </c>
      <c r="L465" t="b">
        <v>1</v>
      </c>
      <c r="M465" t="s">
        <v>2500</v>
      </c>
      <c r="N465" t="str">
        <f>"892.7/09006"</f>
        <v>892.7/09006</v>
      </c>
      <c r="P465" t="b">
        <v>0</v>
      </c>
      <c r="R465" t="str">
        <f>"9780823251711"</f>
        <v>9780823251711</v>
      </c>
      <c r="S465" t="str">
        <f>"9780823252367"</f>
        <v>9780823252367</v>
      </c>
      <c r="T465">
        <v>915134858</v>
      </c>
    </row>
    <row r="466" spans="1:20" x14ac:dyDescent="0.25">
      <c r="A466">
        <v>1045288</v>
      </c>
      <c r="B466" t="s">
        <v>2501</v>
      </c>
      <c r="C466" t="s">
        <v>2502</v>
      </c>
      <c r="D466" t="s">
        <v>131</v>
      </c>
      <c r="E466" t="s">
        <v>2389</v>
      </c>
      <c r="F466">
        <v>2008</v>
      </c>
      <c r="G466" t="s">
        <v>23</v>
      </c>
      <c r="H466" t="s">
        <v>2503</v>
      </c>
      <c r="I466" t="s">
        <v>2504</v>
      </c>
      <c r="J466" t="s">
        <v>26</v>
      </c>
      <c r="K466" t="s">
        <v>86</v>
      </c>
      <c r="L466" t="b">
        <v>1</v>
      </c>
      <c r="M466" t="s">
        <v>2505</v>
      </c>
      <c r="N466" t="str">
        <f>"781.1/7"</f>
        <v>781.1/7</v>
      </c>
      <c r="P466" t="b">
        <v>0</v>
      </c>
      <c r="R466" t="str">
        <f>"9780823227990"</f>
        <v>9780823227990</v>
      </c>
      <c r="S466" t="str">
        <f>"9780823237883"</f>
        <v>9780823237883</v>
      </c>
      <c r="T466">
        <v>915134857</v>
      </c>
    </row>
    <row r="467" spans="1:20" x14ac:dyDescent="0.25">
      <c r="A467">
        <v>1045286</v>
      </c>
      <c r="B467" t="s">
        <v>2506</v>
      </c>
      <c r="C467" t="s">
        <v>2507</v>
      </c>
      <c r="D467" t="s">
        <v>131</v>
      </c>
      <c r="E467" t="s">
        <v>2389</v>
      </c>
      <c r="F467">
        <v>2008</v>
      </c>
      <c r="G467" t="s">
        <v>2508</v>
      </c>
      <c r="H467" t="s">
        <v>2509</v>
      </c>
      <c r="I467" t="s">
        <v>2510</v>
      </c>
      <c r="J467" t="s">
        <v>26</v>
      </c>
      <c r="K467" t="s">
        <v>86</v>
      </c>
      <c r="L467" t="b">
        <v>1</v>
      </c>
      <c r="M467" t="s">
        <v>2511</v>
      </c>
      <c r="N467" t="str">
        <f>"121"</f>
        <v>121</v>
      </c>
      <c r="P467" t="b">
        <v>0</v>
      </c>
      <c r="R467" t="str">
        <f>"9780823229130"</f>
        <v>9780823229130</v>
      </c>
      <c r="S467" t="str">
        <f>"9780823238354"</f>
        <v>9780823238354</v>
      </c>
      <c r="T467">
        <v>915134855</v>
      </c>
    </row>
    <row r="468" spans="1:20" x14ac:dyDescent="0.25">
      <c r="A468">
        <v>1045284</v>
      </c>
      <c r="B468" t="s">
        <v>2512</v>
      </c>
      <c r="C468" t="s">
        <v>2513</v>
      </c>
      <c r="D468" t="s">
        <v>131</v>
      </c>
      <c r="E468" t="s">
        <v>2389</v>
      </c>
      <c r="F468">
        <v>2009</v>
      </c>
      <c r="G468" t="s">
        <v>2514</v>
      </c>
      <c r="H468" t="s">
        <v>2515</v>
      </c>
      <c r="I468" t="s">
        <v>2516</v>
      </c>
      <c r="J468" t="s">
        <v>26</v>
      </c>
      <c r="K468" t="s">
        <v>86</v>
      </c>
      <c r="L468" t="b">
        <v>1</v>
      </c>
      <c r="M468" t="s">
        <v>2517</v>
      </c>
      <c r="N468" t="str">
        <f>"296.1/2506"</f>
        <v>296.1/2506</v>
      </c>
      <c r="P468" t="b">
        <v>0</v>
      </c>
      <c r="R468" t="str">
        <f>"9780823229345"</f>
        <v>9780823229345</v>
      </c>
      <c r="S468" t="str">
        <f>"9780823238767"</f>
        <v>9780823238767</v>
      </c>
      <c r="T468">
        <v>650219018</v>
      </c>
    </row>
    <row r="469" spans="1:20" x14ac:dyDescent="0.25">
      <c r="A469">
        <v>1045282</v>
      </c>
      <c r="B469" t="s">
        <v>2518</v>
      </c>
      <c r="C469" t="s">
        <v>2519</v>
      </c>
      <c r="D469" t="s">
        <v>131</v>
      </c>
      <c r="E469" t="s">
        <v>2389</v>
      </c>
      <c r="F469">
        <v>2011</v>
      </c>
      <c r="G469" t="s">
        <v>1026</v>
      </c>
      <c r="H469" t="s">
        <v>2520</v>
      </c>
      <c r="I469" t="s">
        <v>2521</v>
      </c>
      <c r="J469" t="s">
        <v>26</v>
      </c>
      <c r="K469" t="s">
        <v>86</v>
      </c>
      <c r="L469" t="b">
        <v>1</v>
      </c>
      <c r="M469" t="s">
        <v>2522</v>
      </c>
      <c r="N469" t="str">
        <f>"823/.8"</f>
        <v>823/.8</v>
      </c>
      <c r="P469" t="b">
        <v>0</v>
      </c>
      <c r="R469" t="str">
        <f>"9780823233526"</f>
        <v>9780823233526</v>
      </c>
      <c r="S469" t="str">
        <f>"9780823266197"</f>
        <v>9780823266197</v>
      </c>
      <c r="T469">
        <v>732959327</v>
      </c>
    </row>
    <row r="470" spans="1:20" x14ac:dyDescent="0.25">
      <c r="A470">
        <v>1045281</v>
      </c>
      <c r="B470" t="s">
        <v>2523</v>
      </c>
      <c r="C470" t="s">
        <v>2524</v>
      </c>
      <c r="D470" t="s">
        <v>131</v>
      </c>
      <c r="E470" t="s">
        <v>2389</v>
      </c>
      <c r="F470">
        <v>2011</v>
      </c>
      <c r="G470" t="s">
        <v>2525</v>
      </c>
      <c r="H470" t="s">
        <v>2526</v>
      </c>
      <c r="I470" t="s">
        <v>2527</v>
      </c>
      <c r="J470" t="s">
        <v>26</v>
      </c>
      <c r="K470" t="s">
        <v>86</v>
      </c>
      <c r="L470" t="b">
        <v>1</v>
      </c>
      <c r="M470" t="s">
        <v>2528</v>
      </c>
      <c r="N470" t="str">
        <f>"616.9/883"</f>
        <v>616.9/883</v>
      </c>
      <c r="O470" t="s">
        <v>2529</v>
      </c>
      <c r="P470" t="b">
        <v>0</v>
      </c>
      <c r="R470" t="str">
        <f>"9780823240609"</f>
        <v>9780823240609</v>
      </c>
      <c r="S470" t="str">
        <f>"9780823260706"</f>
        <v>9780823260706</v>
      </c>
      <c r="T470">
        <v>811403336</v>
      </c>
    </row>
    <row r="471" spans="1:20" x14ac:dyDescent="0.25">
      <c r="A471">
        <v>1045279</v>
      </c>
      <c r="B471" t="s">
        <v>2530</v>
      </c>
      <c r="D471" t="s">
        <v>131</v>
      </c>
      <c r="E471" t="s">
        <v>2389</v>
      </c>
      <c r="F471">
        <v>2009</v>
      </c>
      <c r="G471" t="s">
        <v>23</v>
      </c>
      <c r="H471" t="s">
        <v>2531</v>
      </c>
      <c r="I471" t="s">
        <v>2532</v>
      </c>
      <c r="J471" t="s">
        <v>26</v>
      </c>
      <c r="K471" t="s">
        <v>86</v>
      </c>
      <c r="L471" t="b">
        <v>1</v>
      </c>
      <c r="M471" t="s">
        <v>2533</v>
      </c>
      <c r="N471" t="str">
        <f>"154.6"</f>
        <v>154.6</v>
      </c>
      <c r="P471" t="b">
        <v>1</v>
      </c>
      <c r="R471" t="str">
        <f>"9780823231171"</f>
        <v>9780823231171</v>
      </c>
      <c r="S471" t="str">
        <f>"9780823238422"</f>
        <v>9780823238422</v>
      </c>
      <c r="T471">
        <v>915134842</v>
      </c>
    </row>
    <row r="472" spans="1:20" x14ac:dyDescent="0.25">
      <c r="A472">
        <v>1045274</v>
      </c>
      <c r="B472" t="s">
        <v>2534</v>
      </c>
      <c r="C472" t="s">
        <v>2535</v>
      </c>
      <c r="D472" t="s">
        <v>131</v>
      </c>
      <c r="E472" t="s">
        <v>2389</v>
      </c>
      <c r="F472">
        <v>2009</v>
      </c>
      <c r="G472" t="s">
        <v>2536</v>
      </c>
      <c r="H472" t="s">
        <v>2537</v>
      </c>
      <c r="J472" t="s">
        <v>26</v>
      </c>
      <c r="K472" t="s">
        <v>86</v>
      </c>
      <c r="L472" t="b">
        <v>1</v>
      </c>
      <c r="M472" t="s">
        <v>2538</v>
      </c>
      <c r="N472" t="str">
        <f>"149/.91"</f>
        <v>149/.91</v>
      </c>
      <c r="P472" t="b">
        <v>0</v>
      </c>
      <c r="R472" t="str">
        <f>"9780823229284"</f>
        <v>9780823229284</v>
      </c>
      <c r="S472" t="str">
        <f>"9780823238361"</f>
        <v>9780823238361</v>
      </c>
      <c r="T472">
        <v>915134831</v>
      </c>
    </row>
    <row r="473" spans="1:20" x14ac:dyDescent="0.25">
      <c r="A473">
        <v>1045271</v>
      </c>
      <c r="B473" t="s">
        <v>2539</v>
      </c>
      <c r="D473" t="s">
        <v>131</v>
      </c>
      <c r="E473" t="s">
        <v>2389</v>
      </c>
      <c r="F473">
        <v>2012</v>
      </c>
      <c r="G473" t="s">
        <v>1738</v>
      </c>
      <c r="H473" t="s">
        <v>2540</v>
      </c>
      <c r="I473" t="s">
        <v>2541</v>
      </c>
      <c r="J473" t="s">
        <v>26</v>
      </c>
      <c r="K473" t="s">
        <v>86</v>
      </c>
      <c r="L473" t="b">
        <v>1</v>
      </c>
      <c r="M473" t="s">
        <v>2542</v>
      </c>
      <c r="N473" t="str">
        <f>"302.23"</f>
        <v>302.23</v>
      </c>
      <c r="O473" t="s">
        <v>2543</v>
      </c>
      <c r="P473" t="b">
        <v>0</v>
      </c>
      <c r="R473" t="str">
        <f>"9780823245123"</f>
        <v>9780823245123</v>
      </c>
      <c r="S473" t="str">
        <f>"9780823245154"</f>
        <v>9780823245154</v>
      </c>
      <c r="T473">
        <v>820849477</v>
      </c>
    </row>
    <row r="474" spans="1:20" x14ac:dyDescent="0.25">
      <c r="A474">
        <v>1045265</v>
      </c>
      <c r="B474" t="s">
        <v>2544</v>
      </c>
      <c r="C474" t="s">
        <v>2545</v>
      </c>
      <c r="D474" t="s">
        <v>131</v>
      </c>
      <c r="E474" t="s">
        <v>2389</v>
      </c>
      <c r="F474">
        <v>2008</v>
      </c>
      <c r="G474" t="s">
        <v>2536</v>
      </c>
      <c r="H474" t="s">
        <v>2546</v>
      </c>
      <c r="I474" t="s">
        <v>2547</v>
      </c>
      <c r="J474" t="s">
        <v>26</v>
      </c>
      <c r="K474" t="s">
        <v>86</v>
      </c>
      <c r="L474" t="b">
        <v>1</v>
      </c>
      <c r="M474" t="s">
        <v>2548</v>
      </c>
      <c r="N474" t="str">
        <f>"264/.02008996073"</f>
        <v>264/.02008996073</v>
      </c>
      <c r="P474" t="b">
        <v>0</v>
      </c>
      <c r="R474" t="str">
        <f>"9780823229918"</f>
        <v>9780823229918</v>
      </c>
      <c r="S474" t="str">
        <f>"9780823237869"</f>
        <v>9780823237869</v>
      </c>
      <c r="T474">
        <v>780640858</v>
      </c>
    </row>
    <row r="475" spans="1:20" x14ac:dyDescent="0.25">
      <c r="A475">
        <v>1045264</v>
      </c>
      <c r="B475" t="s">
        <v>2549</v>
      </c>
      <c r="C475" t="s">
        <v>2550</v>
      </c>
      <c r="D475" t="s">
        <v>131</v>
      </c>
      <c r="E475" t="s">
        <v>2389</v>
      </c>
      <c r="F475">
        <v>2012</v>
      </c>
      <c r="G475" t="s">
        <v>2551</v>
      </c>
      <c r="H475" t="s">
        <v>2552</v>
      </c>
      <c r="J475" t="s">
        <v>26</v>
      </c>
      <c r="K475" t="s">
        <v>86</v>
      </c>
      <c r="L475" t="b">
        <v>1</v>
      </c>
      <c r="M475" t="s">
        <v>2553</v>
      </c>
      <c r="N475" t="str">
        <f>"271/.97"</f>
        <v>271/.97</v>
      </c>
      <c r="P475" t="b">
        <v>0</v>
      </c>
      <c r="R475" t="str">
        <f>"9780823239870"</f>
        <v>9780823239870</v>
      </c>
      <c r="S475" t="str">
        <f>"9780823266234"</f>
        <v>9780823266234</v>
      </c>
      <c r="T475">
        <v>797844786</v>
      </c>
    </row>
    <row r="476" spans="1:20" x14ac:dyDescent="0.25">
      <c r="A476">
        <v>1045262</v>
      </c>
      <c r="B476" t="s">
        <v>2554</v>
      </c>
      <c r="C476" t="s">
        <v>2555</v>
      </c>
      <c r="D476" t="s">
        <v>131</v>
      </c>
      <c r="E476" t="s">
        <v>2389</v>
      </c>
      <c r="F476">
        <v>2009</v>
      </c>
      <c r="G476" t="s">
        <v>2556</v>
      </c>
      <c r="H476" t="s">
        <v>2557</v>
      </c>
      <c r="I476" t="s">
        <v>2558</v>
      </c>
      <c r="J476" t="s">
        <v>26</v>
      </c>
      <c r="K476" t="s">
        <v>86</v>
      </c>
      <c r="L476" t="b">
        <v>1</v>
      </c>
      <c r="M476" t="s">
        <v>2559</v>
      </c>
      <c r="N476" t="str">
        <f>"949.507/4"</f>
        <v>949.507/4</v>
      </c>
      <c r="P476" t="b">
        <v>0</v>
      </c>
      <c r="R476" t="str">
        <f>"9780823229673"</f>
        <v>9780823229673</v>
      </c>
      <c r="S476" t="str">
        <f>"9780823237531"</f>
        <v>9780823237531</v>
      </c>
      <c r="T476">
        <v>915134759</v>
      </c>
    </row>
    <row r="477" spans="1:20" x14ac:dyDescent="0.25">
      <c r="A477">
        <v>1045261</v>
      </c>
      <c r="B477" t="s">
        <v>2560</v>
      </c>
      <c r="C477" t="s">
        <v>2561</v>
      </c>
      <c r="D477" t="s">
        <v>131</v>
      </c>
      <c r="E477" t="s">
        <v>2389</v>
      </c>
      <c r="F477">
        <v>2009</v>
      </c>
      <c r="G477" t="s">
        <v>605</v>
      </c>
      <c r="H477" t="s">
        <v>2562</v>
      </c>
      <c r="I477" t="s">
        <v>2563</v>
      </c>
      <c r="J477" t="s">
        <v>26</v>
      </c>
      <c r="K477" t="s">
        <v>86</v>
      </c>
      <c r="L477" t="b">
        <v>1</v>
      </c>
      <c r="M477" t="s">
        <v>2564</v>
      </c>
      <c r="N477" t="str">
        <f>"781.1/7"</f>
        <v>781.1/7</v>
      </c>
      <c r="P477" t="b">
        <v>0</v>
      </c>
      <c r="R477" t="str">
        <f>"9780823230631"</f>
        <v>9780823230631</v>
      </c>
      <c r="S477" t="str">
        <f>"9780823237982"</f>
        <v>9780823237982</v>
      </c>
      <c r="T477">
        <v>915134758</v>
      </c>
    </row>
    <row r="478" spans="1:20" x14ac:dyDescent="0.25">
      <c r="A478">
        <v>1045260</v>
      </c>
      <c r="B478" t="s">
        <v>2565</v>
      </c>
      <c r="D478" t="s">
        <v>131</v>
      </c>
      <c r="E478" t="s">
        <v>2566</v>
      </c>
      <c r="F478">
        <v>2012</v>
      </c>
      <c r="G478" t="s">
        <v>2567</v>
      </c>
      <c r="H478" t="s">
        <v>2568</v>
      </c>
      <c r="I478" t="s">
        <v>2569</v>
      </c>
      <c r="J478" t="s">
        <v>26</v>
      </c>
      <c r="K478" t="s">
        <v>86</v>
      </c>
      <c r="L478" t="b">
        <v>1</v>
      </c>
      <c r="M478" t="s">
        <v>2570</v>
      </c>
      <c r="N478" t="str">
        <f>"759.13"</f>
        <v>759.13</v>
      </c>
      <c r="O478" t="s">
        <v>2352</v>
      </c>
      <c r="P478" t="b">
        <v>0</v>
      </c>
      <c r="R478" t="str">
        <f>"9780823240654"</f>
        <v>9780823240654</v>
      </c>
      <c r="S478" t="str">
        <f>"9780823253081"</f>
        <v>9780823253081</v>
      </c>
      <c r="T478">
        <v>915134757</v>
      </c>
    </row>
    <row r="479" spans="1:20" x14ac:dyDescent="0.25">
      <c r="A479">
        <v>1045259</v>
      </c>
      <c r="B479" t="s">
        <v>2571</v>
      </c>
      <c r="C479" t="s">
        <v>2572</v>
      </c>
      <c r="D479" t="s">
        <v>131</v>
      </c>
      <c r="E479" t="s">
        <v>2389</v>
      </c>
      <c r="F479">
        <v>2005</v>
      </c>
      <c r="G479" t="s">
        <v>197</v>
      </c>
      <c r="H479" t="s">
        <v>2573</v>
      </c>
      <c r="I479" t="s">
        <v>2574</v>
      </c>
      <c r="J479" t="s">
        <v>26</v>
      </c>
      <c r="K479" t="s">
        <v>86</v>
      </c>
      <c r="L479" t="b">
        <v>1</v>
      </c>
      <c r="M479" t="s">
        <v>2575</v>
      </c>
      <c r="N479" t="str">
        <f>"303.6/6"</f>
        <v>303.6/6</v>
      </c>
      <c r="P479" t="b">
        <v>0</v>
      </c>
      <c r="R479" t="str">
        <f>"9780823224753"</f>
        <v>9780823224753</v>
      </c>
      <c r="S479" t="str">
        <f>"9780823238323"</f>
        <v>9780823238323</v>
      </c>
      <c r="T479">
        <v>607611319</v>
      </c>
    </row>
    <row r="480" spans="1:20" x14ac:dyDescent="0.25">
      <c r="A480">
        <v>1045257</v>
      </c>
      <c r="B480" t="s">
        <v>2576</v>
      </c>
      <c r="C480" t="s">
        <v>2577</v>
      </c>
      <c r="D480" t="s">
        <v>131</v>
      </c>
      <c r="E480" t="s">
        <v>2389</v>
      </c>
      <c r="F480">
        <v>2008</v>
      </c>
      <c r="G480" t="s">
        <v>2578</v>
      </c>
      <c r="H480" t="s">
        <v>2579</v>
      </c>
      <c r="I480" t="s">
        <v>2580</v>
      </c>
      <c r="J480" t="s">
        <v>26</v>
      </c>
      <c r="K480" t="s">
        <v>86</v>
      </c>
      <c r="L480" t="b">
        <v>1</v>
      </c>
      <c r="M480" t="s">
        <v>2581</v>
      </c>
      <c r="N480" t="str">
        <f>"780.92"</f>
        <v>780.92</v>
      </c>
      <c r="P480" t="b">
        <v>0</v>
      </c>
      <c r="R480" t="str">
        <f>"9780823228713"</f>
        <v>9780823228713</v>
      </c>
      <c r="S480" t="str">
        <f>"9780823238743"</f>
        <v>9780823238743</v>
      </c>
      <c r="T480">
        <v>647876540</v>
      </c>
    </row>
    <row r="481" spans="1:20" x14ac:dyDescent="0.25">
      <c r="A481">
        <v>1045255</v>
      </c>
      <c r="B481" t="s">
        <v>2582</v>
      </c>
      <c r="C481" t="s">
        <v>2583</v>
      </c>
      <c r="D481" t="s">
        <v>131</v>
      </c>
      <c r="E481" t="s">
        <v>2389</v>
      </c>
      <c r="F481">
        <v>2008</v>
      </c>
      <c r="G481" t="s">
        <v>1968</v>
      </c>
      <c r="H481" t="s">
        <v>2584</v>
      </c>
      <c r="I481" t="s">
        <v>2585</v>
      </c>
      <c r="J481" t="s">
        <v>26</v>
      </c>
      <c r="K481" t="s">
        <v>86</v>
      </c>
      <c r="L481" t="b">
        <v>1</v>
      </c>
      <c r="M481" t="s">
        <v>2586</v>
      </c>
      <c r="N481" t="str">
        <f>"808.1"</f>
        <v>808.1</v>
      </c>
      <c r="P481" t="b">
        <v>1</v>
      </c>
      <c r="R481" t="str">
        <f>"9780823228683"</f>
        <v>9780823228683</v>
      </c>
      <c r="S481" t="str">
        <f>"9780823238347"</f>
        <v>9780823238347</v>
      </c>
      <c r="T481">
        <v>915134809</v>
      </c>
    </row>
    <row r="482" spans="1:20" x14ac:dyDescent="0.25">
      <c r="A482">
        <v>1045253</v>
      </c>
      <c r="B482" t="s">
        <v>2587</v>
      </c>
      <c r="C482" t="s">
        <v>2588</v>
      </c>
      <c r="D482" t="s">
        <v>131</v>
      </c>
      <c r="E482" t="s">
        <v>2389</v>
      </c>
      <c r="F482">
        <v>2007</v>
      </c>
      <c r="G482" t="s">
        <v>63</v>
      </c>
      <c r="H482" t="s">
        <v>2589</v>
      </c>
      <c r="I482" t="s">
        <v>2590</v>
      </c>
      <c r="J482" t="s">
        <v>26</v>
      </c>
      <c r="K482" t="s">
        <v>86</v>
      </c>
      <c r="L482" t="b">
        <v>1</v>
      </c>
      <c r="M482" t="s">
        <v>2591</v>
      </c>
      <c r="N482" t="str">
        <f>"155.9/35"</f>
        <v>155.9/35</v>
      </c>
      <c r="P482" t="b">
        <v>0</v>
      </c>
      <c r="R482" t="str">
        <f>"9780823227334"</f>
        <v>9780823227334</v>
      </c>
      <c r="S482" t="str">
        <f>"9780823237647"</f>
        <v>9780823237647</v>
      </c>
      <c r="T482">
        <v>647876422</v>
      </c>
    </row>
    <row r="483" spans="1:20" x14ac:dyDescent="0.25">
      <c r="A483">
        <v>1045251</v>
      </c>
      <c r="B483" t="s">
        <v>2592</v>
      </c>
      <c r="C483" t="s">
        <v>2593</v>
      </c>
      <c r="D483" t="s">
        <v>131</v>
      </c>
      <c r="E483" t="s">
        <v>2389</v>
      </c>
      <c r="F483">
        <v>2009</v>
      </c>
      <c r="G483" t="s">
        <v>856</v>
      </c>
      <c r="H483" t="s">
        <v>2594</v>
      </c>
      <c r="I483" t="s">
        <v>2595</v>
      </c>
      <c r="J483" t="s">
        <v>26</v>
      </c>
      <c r="K483" t="s">
        <v>86</v>
      </c>
      <c r="L483" t="b">
        <v>1</v>
      </c>
      <c r="M483" t="s">
        <v>2596</v>
      </c>
      <c r="N483" t="str">
        <f>"320.01"</f>
        <v>320.01</v>
      </c>
      <c r="P483" t="b">
        <v>0</v>
      </c>
      <c r="R483" t="str">
        <f>"9780823230037"</f>
        <v>9780823230037</v>
      </c>
      <c r="S483" t="str">
        <f>"9780823238651"</f>
        <v>9780823238651</v>
      </c>
      <c r="T483">
        <v>657608601</v>
      </c>
    </row>
    <row r="484" spans="1:20" x14ac:dyDescent="0.25">
      <c r="A484">
        <v>1045250</v>
      </c>
      <c r="B484" t="s">
        <v>2597</v>
      </c>
      <c r="C484" t="s">
        <v>2598</v>
      </c>
      <c r="D484" t="s">
        <v>131</v>
      </c>
      <c r="E484" t="s">
        <v>2389</v>
      </c>
      <c r="F484">
        <v>2010</v>
      </c>
      <c r="G484" t="s">
        <v>2395</v>
      </c>
      <c r="H484" t="s">
        <v>2599</v>
      </c>
      <c r="I484" t="s">
        <v>2600</v>
      </c>
      <c r="J484" t="s">
        <v>26</v>
      </c>
      <c r="K484" t="s">
        <v>86</v>
      </c>
      <c r="L484" t="b">
        <v>1</v>
      </c>
      <c r="M484" t="s">
        <v>2601</v>
      </c>
      <c r="N484" t="str">
        <f>"328.73/092"</f>
        <v>328.73/092</v>
      </c>
      <c r="P484" t="b">
        <v>0</v>
      </c>
      <c r="R484" t="str">
        <f>"9780823233045"</f>
        <v>9780823233045</v>
      </c>
      <c r="S484" t="str">
        <f>"9780823237401"</f>
        <v>9780823237401</v>
      </c>
      <c r="T484">
        <v>915134804</v>
      </c>
    </row>
    <row r="485" spans="1:20" x14ac:dyDescent="0.25">
      <c r="A485">
        <v>1045249</v>
      </c>
      <c r="B485" t="s">
        <v>2602</v>
      </c>
      <c r="C485" t="s">
        <v>2603</v>
      </c>
      <c r="D485" t="s">
        <v>131</v>
      </c>
      <c r="E485" t="s">
        <v>2389</v>
      </c>
      <c r="F485">
        <v>2009</v>
      </c>
      <c r="G485" t="s">
        <v>23</v>
      </c>
      <c r="H485" t="s">
        <v>2604</v>
      </c>
      <c r="I485" t="s">
        <v>2605</v>
      </c>
      <c r="J485" t="s">
        <v>26</v>
      </c>
      <c r="K485" t="s">
        <v>86</v>
      </c>
      <c r="L485" t="b">
        <v>1</v>
      </c>
      <c r="M485" t="s">
        <v>2606</v>
      </c>
      <c r="N485" t="str">
        <f>"973"</f>
        <v>973</v>
      </c>
      <c r="O485" t="s">
        <v>2607</v>
      </c>
      <c r="P485" t="b">
        <v>0</v>
      </c>
      <c r="R485" t="str">
        <f>"9780823231324"</f>
        <v>9780823231324</v>
      </c>
      <c r="S485" t="str">
        <f>"9780823238118"</f>
        <v>9780823238118</v>
      </c>
      <c r="T485">
        <v>915134803</v>
      </c>
    </row>
    <row r="486" spans="1:20" x14ac:dyDescent="0.25">
      <c r="A486">
        <v>1045248</v>
      </c>
      <c r="B486" t="s">
        <v>2608</v>
      </c>
      <c r="C486" t="s">
        <v>2609</v>
      </c>
      <c r="D486" t="s">
        <v>131</v>
      </c>
      <c r="E486" t="s">
        <v>2389</v>
      </c>
      <c r="F486">
        <v>2011</v>
      </c>
      <c r="G486" t="s">
        <v>1738</v>
      </c>
      <c r="H486" t="s">
        <v>2610</v>
      </c>
      <c r="I486" t="s">
        <v>2611</v>
      </c>
      <c r="J486" t="s">
        <v>26</v>
      </c>
      <c r="K486" t="s">
        <v>86</v>
      </c>
      <c r="L486" t="b">
        <v>1</v>
      </c>
      <c r="M486" t="s">
        <v>2612</v>
      </c>
      <c r="N486" t="str">
        <f>"302.23"</f>
        <v>302.23</v>
      </c>
      <c r="O486" t="s">
        <v>2543</v>
      </c>
      <c r="P486" t="b">
        <v>0</v>
      </c>
      <c r="R486" t="str">
        <f>"9780823233465"</f>
        <v>9780823233465</v>
      </c>
      <c r="S486" t="str">
        <f>"9780823237500"</f>
        <v>9780823237500</v>
      </c>
      <c r="T486">
        <v>915134802</v>
      </c>
    </row>
    <row r="487" spans="1:20" x14ac:dyDescent="0.25">
      <c r="A487">
        <v>1045247</v>
      </c>
      <c r="B487" t="s">
        <v>2613</v>
      </c>
      <c r="C487" t="s">
        <v>2614</v>
      </c>
      <c r="D487" t="s">
        <v>131</v>
      </c>
      <c r="E487" t="s">
        <v>2389</v>
      </c>
      <c r="F487">
        <v>2009</v>
      </c>
      <c r="G487" t="s">
        <v>197</v>
      </c>
      <c r="H487" t="s">
        <v>2615</v>
      </c>
      <c r="I487" t="s">
        <v>2616</v>
      </c>
      <c r="J487" t="s">
        <v>26</v>
      </c>
      <c r="K487" t="s">
        <v>86</v>
      </c>
      <c r="L487" t="b">
        <v>1</v>
      </c>
      <c r="M487" t="s">
        <v>2617</v>
      </c>
      <c r="N487" t="str">
        <f>"810.9/92128273"</f>
        <v>810.9/92128273</v>
      </c>
      <c r="P487" t="b">
        <v>0</v>
      </c>
      <c r="R487" t="str">
        <f>"9780823230600"</f>
        <v>9780823230600</v>
      </c>
      <c r="S487" t="str">
        <f>"9780823237418"</f>
        <v>9780823237418</v>
      </c>
      <c r="T487">
        <v>915134801</v>
      </c>
    </row>
    <row r="488" spans="1:20" x14ac:dyDescent="0.25">
      <c r="A488">
        <v>1045246</v>
      </c>
      <c r="B488" t="s">
        <v>2618</v>
      </c>
      <c r="D488" t="s">
        <v>131</v>
      </c>
      <c r="E488" t="s">
        <v>2389</v>
      </c>
      <c r="F488">
        <v>2005</v>
      </c>
      <c r="G488" t="s">
        <v>2619</v>
      </c>
      <c r="H488" t="s">
        <v>2620</v>
      </c>
      <c r="I488" t="s">
        <v>2621</v>
      </c>
      <c r="J488" t="s">
        <v>26</v>
      </c>
      <c r="K488" t="s">
        <v>86</v>
      </c>
      <c r="L488" t="b">
        <v>1</v>
      </c>
      <c r="M488" t="s">
        <v>2622</v>
      </c>
      <c r="N488" t="str">
        <f>"370/.94/0902"</f>
        <v>370/.94/0902</v>
      </c>
      <c r="O488" t="s">
        <v>2623</v>
      </c>
      <c r="P488" t="b">
        <v>0</v>
      </c>
      <c r="R488" t="str">
        <f>"9780823224258"</f>
        <v>9780823224258</v>
      </c>
      <c r="S488" t="str">
        <f>"9780823237913"</f>
        <v>9780823237913</v>
      </c>
      <c r="T488">
        <v>647876498</v>
      </c>
    </row>
    <row r="489" spans="1:20" x14ac:dyDescent="0.25">
      <c r="A489">
        <v>1045244</v>
      </c>
      <c r="B489" t="s">
        <v>2624</v>
      </c>
      <c r="C489" t="s">
        <v>2625</v>
      </c>
      <c r="D489" t="s">
        <v>131</v>
      </c>
      <c r="E489" t="s">
        <v>2389</v>
      </c>
      <c r="F489">
        <v>2007</v>
      </c>
      <c r="G489" t="s">
        <v>283</v>
      </c>
      <c r="H489" t="s">
        <v>2626</v>
      </c>
      <c r="I489" t="s">
        <v>2627</v>
      </c>
      <c r="J489" t="s">
        <v>26</v>
      </c>
      <c r="K489" t="s">
        <v>86</v>
      </c>
      <c r="L489" t="b">
        <v>1</v>
      </c>
      <c r="M489" t="s">
        <v>2628</v>
      </c>
      <c r="N489" t="str">
        <f>"801/.95092;B"</f>
        <v>801/.95092;B</v>
      </c>
      <c r="P489" t="b">
        <v>0</v>
      </c>
      <c r="R489" t="str">
        <f>"9780823228324"</f>
        <v>9780823228324</v>
      </c>
      <c r="S489" t="str">
        <f>"9780823237272"</f>
        <v>9780823237272</v>
      </c>
      <c r="T489">
        <v>647876477</v>
      </c>
    </row>
    <row r="490" spans="1:20" x14ac:dyDescent="0.25">
      <c r="A490">
        <v>1045241</v>
      </c>
      <c r="B490" t="s">
        <v>2629</v>
      </c>
      <c r="C490" t="s">
        <v>2630</v>
      </c>
      <c r="D490" t="s">
        <v>131</v>
      </c>
      <c r="E490" t="s">
        <v>2389</v>
      </c>
      <c r="F490">
        <v>2009</v>
      </c>
      <c r="G490" t="s">
        <v>2281</v>
      </c>
      <c r="H490" t="s">
        <v>2631</v>
      </c>
      <c r="I490" t="s">
        <v>2632</v>
      </c>
      <c r="J490" t="s">
        <v>26</v>
      </c>
      <c r="K490" t="s">
        <v>86</v>
      </c>
      <c r="L490" t="b">
        <v>1</v>
      </c>
      <c r="M490" t="s">
        <v>2633</v>
      </c>
      <c r="N490" t="str">
        <f>"191"</f>
        <v>191</v>
      </c>
      <c r="O490" t="s">
        <v>2607</v>
      </c>
      <c r="P490" t="b">
        <v>0</v>
      </c>
      <c r="R490" t="str">
        <f>"9780823230549"</f>
        <v>9780823230549</v>
      </c>
      <c r="S490" t="str">
        <f>"9780823238811"</f>
        <v>9780823238811</v>
      </c>
      <c r="T490">
        <v>915134788</v>
      </c>
    </row>
    <row r="491" spans="1:20" x14ac:dyDescent="0.25">
      <c r="A491">
        <v>1045240</v>
      </c>
      <c r="B491" t="s">
        <v>2634</v>
      </c>
      <c r="C491" t="s">
        <v>2635</v>
      </c>
      <c r="D491" t="s">
        <v>131</v>
      </c>
      <c r="E491" t="s">
        <v>2389</v>
      </c>
      <c r="F491">
        <v>2009</v>
      </c>
      <c r="G491" t="s">
        <v>605</v>
      </c>
      <c r="H491" t="s">
        <v>2636</v>
      </c>
      <c r="I491" t="s">
        <v>2637</v>
      </c>
      <c r="J491" t="s">
        <v>26</v>
      </c>
      <c r="K491" t="s">
        <v>86</v>
      </c>
      <c r="L491" t="b">
        <v>1</v>
      </c>
      <c r="M491" t="s">
        <v>2638</v>
      </c>
      <c r="N491" t="str">
        <f>"781.70092"</f>
        <v>781.70092</v>
      </c>
      <c r="P491" t="b">
        <v>0</v>
      </c>
      <c r="R491" t="str">
        <f>"9780823230570"</f>
        <v>9780823230570</v>
      </c>
      <c r="S491" t="str">
        <f>"9780823238576"</f>
        <v>9780823238576</v>
      </c>
      <c r="T491">
        <v>647876473</v>
      </c>
    </row>
    <row r="492" spans="1:20" x14ac:dyDescent="0.25">
      <c r="A492">
        <v>1045239</v>
      </c>
      <c r="B492" t="s">
        <v>2639</v>
      </c>
      <c r="D492" t="s">
        <v>131</v>
      </c>
      <c r="E492" t="s">
        <v>2389</v>
      </c>
      <c r="F492">
        <v>2009</v>
      </c>
      <c r="G492" t="s">
        <v>2640</v>
      </c>
      <c r="H492" t="s">
        <v>2641</v>
      </c>
      <c r="I492" t="s">
        <v>2642</v>
      </c>
      <c r="J492" t="s">
        <v>26</v>
      </c>
      <c r="K492" t="s">
        <v>86</v>
      </c>
      <c r="L492" t="b">
        <v>1</v>
      </c>
      <c r="M492" t="s">
        <v>2643</v>
      </c>
      <c r="N492" t="str">
        <f>"191"</f>
        <v>191</v>
      </c>
      <c r="O492" t="s">
        <v>2607</v>
      </c>
      <c r="P492" t="b">
        <v>0</v>
      </c>
      <c r="R492" t="str">
        <f>"9780823230181"</f>
        <v>9780823230181</v>
      </c>
      <c r="S492" t="str">
        <f>"9780823237807"</f>
        <v>9780823237807</v>
      </c>
      <c r="T492">
        <v>607853761</v>
      </c>
    </row>
    <row r="493" spans="1:20" x14ac:dyDescent="0.25">
      <c r="A493">
        <v>1045238</v>
      </c>
      <c r="B493" t="s">
        <v>2644</v>
      </c>
      <c r="D493" t="s">
        <v>131</v>
      </c>
      <c r="E493" t="s">
        <v>2389</v>
      </c>
      <c r="F493">
        <v>2009</v>
      </c>
      <c r="G493" t="s">
        <v>1974</v>
      </c>
      <c r="H493" t="s">
        <v>2645</v>
      </c>
      <c r="I493" t="s">
        <v>2646</v>
      </c>
      <c r="J493" t="s">
        <v>26</v>
      </c>
      <c r="K493" t="s">
        <v>86</v>
      </c>
      <c r="L493" t="b">
        <v>1</v>
      </c>
      <c r="M493" t="s">
        <v>2647</v>
      </c>
      <c r="N493" t="str">
        <f>"781/.1"</f>
        <v>781/.1</v>
      </c>
      <c r="P493" t="b">
        <v>0</v>
      </c>
      <c r="R493" t="str">
        <f>"9780823230099"</f>
        <v>9780823230099</v>
      </c>
      <c r="S493" t="str">
        <f>"9780823237975"</f>
        <v>9780823237975</v>
      </c>
      <c r="T493">
        <v>647876388</v>
      </c>
    </row>
    <row r="494" spans="1:20" x14ac:dyDescent="0.25">
      <c r="A494">
        <v>1045236</v>
      </c>
      <c r="B494" t="s">
        <v>2648</v>
      </c>
      <c r="C494" t="s">
        <v>2649</v>
      </c>
      <c r="D494" t="s">
        <v>131</v>
      </c>
      <c r="E494" t="s">
        <v>2439</v>
      </c>
      <c r="F494">
        <v>2013</v>
      </c>
      <c r="G494" t="s">
        <v>2650</v>
      </c>
      <c r="H494" t="s">
        <v>2651</v>
      </c>
      <c r="I494" t="s">
        <v>2652</v>
      </c>
      <c r="J494" t="s">
        <v>26</v>
      </c>
      <c r="K494" t="s">
        <v>86</v>
      </c>
      <c r="L494" t="b">
        <v>1</v>
      </c>
      <c r="M494" t="s">
        <v>2653</v>
      </c>
      <c r="N494" t="str">
        <f>"850/.9/002"</f>
        <v>850/.9/002</v>
      </c>
      <c r="P494" t="b">
        <v>0</v>
      </c>
      <c r="R494" t="str">
        <f>"9780823251742"</f>
        <v>9780823251742</v>
      </c>
      <c r="S494" t="str">
        <f>"9780823252183"</f>
        <v>9780823252183</v>
      </c>
      <c r="T494">
        <v>915134783</v>
      </c>
    </row>
    <row r="495" spans="1:20" x14ac:dyDescent="0.25">
      <c r="A495">
        <v>1045234</v>
      </c>
      <c r="B495" t="s">
        <v>2654</v>
      </c>
      <c r="C495" t="s">
        <v>2655</v>
      </c>
      <c r="D495" t="s">
        <v>131</v>
      </c>
      <c r="E495" t="s">
        <v>2389</v>
      </c>
      <c r="F495">
        <v>2009</v>
      </c>
      <c r="G495" t="s">
        <v>856</v>
      </c>
      <c r="H495" t="s">
        <v>2656</v>
      </c>
      <c r="I495" t="s">
        <v>2657</v>
      </c>
      <c r="J495" t="s">
        <v>26</v>
      </c>
      <c r="K495" t="s">
        <v>86</v>
      </c>
      <c r="L495" t="b">
        <v>1</v>
      </c>
      <c r="M495" t="s">
        <v>2658</v>
      </c>
      <c r="N495" t="str">
        <f>"128"</f>
        <v>128</v>
      </c>
      <c r="O495" t="s">
        <v>2426</v>
      </c>
      <c r="P495" t="b">
        <v>0</v>
      </c>
      <c r="R495" t="str">
        <f>"9780823230273"</f>
        <v>9780823230273</v>
      </c>
      <c r="S495" t="str">
        <f>"9780823238002"</f>
        <v>9780823238002</v>
      </c>
      <c r="T495">
        <v>647876468</v>
      </c>
    </row>
    <row r="496" spans="1:20" x14ac:dyDescent="0.25">
      <c r="A496">
        <v>1045233</v>
      </c>
      <c r="B496" t="s">
        <v>2659</v>
      </c>
      <c r="C496" t="s">
        <v>2660</v>
      </c>
      <c r="D496" t="s">
        <v>131</v>
      </c>
      <c r="E496" t="s">
        <v>2389</v>
      </c>
      <c r="F496">
        <v>2009</v>
      </c>
      <c r="G496" t="s">
        <v>605</v>
      </c>
      <c r="H496" t="s">
        <v>2661</v>
      </c>
      <c r="I496" t="s">
        <v>2662</v>
      </c>
      <c r="J496" t="s">
        <v>26</v>
      </c>
      <c r="K496" t="s">
        <v>86</v>
      </c>
      <c r="L496" t="b">
        <v>1</v>
      </c>
      <c r="M496" t="s">
        <v>2663</v>
      </c>
      <c r="N496" t="str">
        <f>"820.9/353809031"</f>
        <v>820.9/353809031</v>
      </c>
      <c r="P496" t="b">
        <v>0</v>
      </c>
      <c r="R496" t="str">
        <f>"9780823230662"</f>
        <v>9780823230662</v>
      </c>
      <c r="S496" t="str">
        <f>"9780823238613"</f>
        <v>9780823238613</v>
      </c>
      <c r="T496">
        <v>915134780</v>
      </c>
    </row>
    <row r="497" spans="1:20" x14ac:dyDescent="0.25">
      <c r="A497">
        <v>1045231</v>
      </c>
      <c r="B497" t="s">
        <v>2664</v>
      </c>
      <c r="C497" t="s">
        <v>2665</v>
      </c>
      <c r="D497" t="s">
        <v>131</v>
      </c>
      <c r="E497" t="s">
        <v>2389</v>
      </c>
      <c r="F497">
        <v>2009</v>
      </c>
      <c r="G497" t="s">
        <v>2666</v>
      </c>
      <c r="H497" t="s">
        <v>2667</v>
      </c>
      <c r="I497" t="s">
        <v>2668</v>
      </c>
      <c r="J497" t="s">
        <v>26</v>
      </c>
      <c r="K497" t="s">
        <v>86</v>
      </c>
      <c r="L497" t="b">
        <v>1</v>
      </c>
      <c r="M497" t="s">
        <v>2669</v>
      </c>
      <c r="N497" t="str">
        <f>"973.7/12097487"</f>
        <v>973.7/12097487</v>
      </c>
      <c r="O497" t="s">
        <v>2670</v>
      </c>
      <c r="P497" t="b">
        <v>0</v>
      </c>
      <c r="R497" t="str">
        <f>"9780823230518"</f>
        <v>9780823230518</v>
      </c>
      <c r="S497" t="str">
        <f>"9780823237562"</f>
        <v>9780823237562</v>
      </c>
      <c r="T497">
        <v>915134779</v>
      </c>
    </row>
    <row r="498" spans="1:20" x14ac:dyDescent="0.25">
      <c r="A498">
        <v>1045171</v>
      </c>
      <c r="B498" t="s">
        <v>2671</v>
      </c>
      <c r="D498" t="s">
        <v>22</v>
      </c>
      <c r="E498" t="s">
        <v>22</v>
      </c>
      <c r="F498">
        <v>2015</v>
      </c>
      <c r="G498" t="s">
        <v>182</v>
      </c>
      <c r="H498" t="s">
        <v>2672</v>
      </c>
      <c r="I498" t="s">
        <v>2673</v>
      </c>
      <c r="J498" t="s">
        <v>26</v>
      </c>
      <c r="K498" t="s">
        <v>27</v>
      </c>
      <c r="L498" t="b">
        <v>1</v>
      </c>
      <c r="M498" t="s">
        <v>2674</v>
      </c>
      <c r="N498" t="str">
        <f>"305"</f>
        <v>305</v>
      </c>
      <c r="O498" t="s">
        <v>2675</v>
      </c>
      <c r="P498" t="b">
        <v>0</v>
      </c>
      <c r="Q498" t="b">
        <v>0</v>
      </c>
      <c r="R498" t="str">
        <f>"9789089645388"</f>
        <v>9789089645388</v>
      </c>
      <c r="S498" t="str">
        <f>"9789048519071"</f>
        <v>9789048519071</v>
      </c>
      <c r="T498">
        <v>916529328</v>
      </c>
    </row>
    <row r="499" spans="1:20" x14ac:dyDescent="0.25">
      <c r="A499">
        <v>1044624</v>
      </c>
      <c r="B499" t="s">
        <v>2676</v>
      </c>
      <c r="D499" t="s">
        <v>22</v>
      </c>
      <c r="E499" t="s">
        <v>22</v>
      </c>
      <c r="F499">
        <v>2015</v>
      </c>
      <c r="G499" t="s">
        <v>31</v>
      </c>
      <c r="H499" t="s">
        <v>2677</v>
      </c>
      <c r="I499" t="s">
        <v>2678</v>
      </c>
      <c r="J499" t="s">
        <v>26</v>
      </c>
      <c r="K499" t="s">
        <v>27</v>
      </c>
      <c r="L499" t="b">
        <v>1</v>
      </c>
      <c r="M499" t="s">
        <v>2679</v>
      </c>
      <c r="N499" t="str">
        <f>"791.430233092"</f>
        <v>791.430233092</v>
      </c>
      <c r="O499" t="s">
        <v>2680</v>
      </c>
      <c r="P499" t="b">
        <v>0</v>
      </c>
      <c r="Q499" t="b">
        <v>0</v>
      </c>
      <c r="R499" t="str">
        <f>"9789089648914"</f>
        <v>9789089648914</v>
      </c>
      <c r="S499" t="str">
        <f>"9789048527557"</f>
        <v>9789048527557</v>
      </c>
      <c r="T499">
        <v>916529296</v>
      </c>
    </row>
    <row r="500" spans="1:20" x14ac:dyDescent="0.25">
      <c r="A500">
        <v>1044623</v>
      </c>
      <c r="B500" t="s">
        <v>2681</v>
      </c>
      <c r="C500" t="s">
        <v>2682</v>
      </c>
      <c r="D500" t="s">
        <v>22</v>
      </c>
      <c r="E500" t="s">
        <v>22</v>
      </c>
      <c r="F500">
        <v>2015</v>
      </c>
      <c r="G500" t="s">
        <v>57</v>
      </c>
      <c r="H500" t="s">
        <v>2683</v>
      </c>
      <c r="I500" t="s">
        <v>2684</v>
      </c>
      <c r="J500" t="s">
        <v>26</v>
      </c>
      <c r="K500" t="s">
        <v>27</v>
      </c>
      <c r="L500" t="b">
        <v>1</v>
      </c>
      <c r="M500" t="s">
        <v>2685</v>
      </c>
      <c r="N500" t="str">
        <f>"305.8"</f>
        <v>305.8</v>
      </c>
      <c r="O500" t="s">
        <v>2686</v>
      </c>
      <c r="P500" t="b">
        <v>0</v>
      </c>
      <c r="Q500" t="b">
        <v>0</v>
      </c>
      <c r="R500" t="str">
        <f>"9789089646408"</f>
        <v>9789089646408</v>
      </c>
      <c r="S500" t="str">
        <f>"9789048523047"</f>
        <v>9789048523047</v>
      </c>
      <c r="T500">
        <v>916529273</v>
      </c>
    </row>
    <row r="501" spans="1:20" x14ac:dyDescent="0.25">
      <c r="A501">
        <v>1044601</v>
      </c>
      <c r="B501" t="s">
        <v>2687</v>
      </c>
      <c r="D501" t="s">
        <v>115</v>
      </c>
      <c r="E501" t="s">
        <v>2688</v>
      </c>
      <c r="F501">
        <v>2008</v>
      </c>
      <c r="G501" t="s">
        <v>2689</v>
      </c>
      <c r="H501" t="s">
        <v>2690</v>
      </c>
      <c r="I501" t="s">
        <v>2691</v>
      </c>
      <c r="J501" t="s">
        <v>26</v>
      </c>
      <c r="K501" t="s">
        <v>27</v>
      </c>
      <c r="L501" t="b">
        <v>1</v>
      </c>
      <c r="M501" t="s">
        <v>2692</v>
      </c>
      <c r="N501" t="str">
        <f>"616.028"</f>
        <v>616.028</v>
      </c>
      <c r="P501" t="b">
        <v>0</v>
      </c>
      <c r="S501" t="str">
        <f>"9783954661916"</f>
        <v>9783954661916</v>
      </c>
      <c r="T501">
        <v>905914869</v>
      </c>
    </row>
    <row r="502" spans="1:20" x14ac:dyDescent="0.25">
      <c r="A502">
        <v>1043750</v>
      </c>
      <c r="B502" t="s">
        <v>2693</v>
      </c>
      <c r="C502" t="s">
        <v>2694</v>
      </c>
      <c r="D502" t="s">
        <v>203</v>
      </c>
      <c r="E502" t="s">
        <v>2695</v>
      </c>
      <c r="F502">
        <v>2015</v>
      </c>
      <c r="G502" t="s">
        <v>1527</v>
      </c>
      <c r="H502" t="s">
        <v>2696</v>
      </c>
      <c r="I502" t="s">
        <v>2697</v>
      </c>
      <c r="J502" t="s">
        <v>26</v>
      </c>
      <c r="K502" t="s">
        <v>86</v>
      </c>
      <c r="L502" t="b">
        <v>1</v>
      </c>
      <c r="M502" t="s">
        <v>2698</v>
      </c>
      <c r="N502" t="str">
        <f>"001.4/20285"</f>
        <v>001.4/20285</v>
      </c>
      <c r="O502" t="s">
        <v>2699</v>
      </c>
      <c r="P502" t="b">
        <v>0</v>
      </c>
      <c r="R502" t="str">
        <f>"9781784270117"</f>
        <v>9781784270117</v>
      </c>
      <c r="S502" t="str">
        <f>"9781784270131"</f>
        <v>9781784270131</v>
      </c>
      <c r="T502">
        <v>919015186</v>
      </c>
    </row>
    <row r="503" spans="1:20" x14ac:dyDescent="0.25">
      <c r="A503">
        <v>1043362</v>
      </c>
      <c r="B503" t="s">
        <v>2700</v>
      </c>
      <c r="C503" t="s">
        <v>2701</v>
      </c>
      <c r="D503" t="s">
        <v>203</v>
      </c>
      <c r="E503" t="s">
        <v>2695</v>
      </c>
      <c r="F503">
        <v>2014</v>
      </c>
      <c r="G503" t="s">
        <v>2702</v>
      </c>
      <c r="H503" t="s">
        <v>2703</v>
      </c>
      <c r="I503" t="s">
        <v>2704</v>
      </c>
      <c r="J503" t="s">
        <v>26</v>
      </c>
      <c r="K503" t="s">
        <v>48</v>
      </c>
      <c r="L503" t="b">
        <v>1</v>
      </c>
      <c r="M503" t="s">
        <v>2705</v>
      </c>
      <c r="N503" t="str">
        <f>"519.5"</f>
        <v>519.5</v>
      </c>
      <c r="O503" t="s">
        <v>2706</v>
      </c>
      <c r="P503" t="b">
        <v>0</v>
      </c>
      <c r="R503" t="str">
        <f>"9781907807626"</f>
        <v>9781907807626</v>
      </c>
      <c r="S503" t="str">
        <f>"9781907807633"</f>
        <v>9781907807633</v>
      </c>
      <c r="T503">
        <v>911247139</v>
      </c>
    </row>
    <row r="504" spans="1:20" x14ac:dyDescent="0.25">
      <c r="A504">
        <v>1043077</v>
      </c>
      <c r="B504" t="s">
        <v>2707</v>
      </c>
      <c r="D504" t="s">
        <v>203</v>
      </c>
      <c r="E504" t="s">
        <v>2695</v>
      </c>
      <c r="F504">
        <v>2015</v>
      </c>
      <c r="G504" t="s">
        <v>1527</v>
      </c>
      <c r="H504" t="s">
        <v>2708</v>
      </c>
      <c r="I504" t="s">
        <v>2709</v>
      </c>
      <c r="J504" t="s">
        <v>26</v>
      </c>
      <c r="K504" t="s">
        <v>86</v>
      </c>
      <c r="L504" t="b">
        <v>1</v>
      </c>
      <c r="M504" t="s">
        <v>2710</v>
      </c>
      <c r="N504" t="str">
        <f>"005.54"</f>
        <v>005.54</v>
      </c>
      <c r="O504" t="s">
        <v>2699</v>
      </c>
      <c r="P504" t="b">
        <v>0</v>
      </c>
      <c r="R504" t="str">
        <f>"9781784270070"</f>
        <v>9781784270070</v>
      </c>
      <c r="S504" t="str">
        <f>"9781784270094"</f>
        <v>9781784270094</v>
      </c>
      <c r="T504">
        <v>908515071</v>
      </c>
    </row>
    <row r="505" spans="1:20" x14ac:dyDescent="0.25">
      <c r="A505">
        <v>1042751</v>
      </c>
      <c r="B505" t="s">
        <v>2711</v>
      </c>
      <c r="C505" t="s">
        <v>2712</v>
      </c>
      <c r="D505" t="s">
        <v>203</v>
      </c>
      <c r="E505" t="s">
        <v>1139</v>
      </c>
      <c r="F505">
        <v>2015</v>
      </c>
      <c r="G505" t="s">
        <v>2713</v>
      </c>
      <c r="H505" t="s">
        <v>2714</v>
      </c>
      <c r="I505" t="s">
        <v>2715</v>
      </c>
      <c r="J505" t="s">
        <v>512</v>
      </c>
      <c r="K505" t="s">
        <v>86</v>
      </c>
      <c r="L505" t="b">
        <v>1</v>
      </c>
      <c r="M505" t="s">
        <v>2716</v>
      </c>
      <c r="N505" t="str">
        <f>"731"</f>
        <v>731</v>
      </c>
      <c r="P505" t="b">
        <v>0</v>
      </c>
      <c r="R505" t="str">
        <f>"9789972228957"</f>
        <v>9789972228957</v>
      </c>
      <c r="S505" t="str">
        <f>"9786124041587"</f>
        <v>9786124041587</v>
      </c>
      <c r="T505">
        <v>908098220</v>
      </c>
    </row>
    <row r="506" spans="1:20" x14ac:dyDescent="0.25">
      <c r="A506">
        <v>1042546</v>
      </c>
      <c r="B506" t="s">
        <v>2717</v>
      </c>
      <c r="D506" t="s">
        <v>203</v>
      </c>
      <c r="E506" t="s">
        <v>1199</v>
      </c>
      <c r="F506">
        <v>2015</v>
      </c>
      <c r="G506" t="s">
        <v>2718</v>
      </c>
      <c r="H506" t="s">
        <v>2719</v>
      </c>
      <c r="I506" t="s">
        <v>2720</v>
      </c>
      <c r="J506" t="s">
        <v>26</v>
      </c>
      <c r="K506" t="s">
        <v>48</v>
      </c>
      <c r="L506" t="b">
        <v>1</v>
      </c>
      <c r="M506" t="s">
        <v>2721</v>
      </c>
      <c r="N506" t="str">
        <f>"302.35"</f>
        <v>302.35</v>
      </c>
      <c r="P506" t="b">
        <v>0</v>
      </c>
      <c r="R506" t="str">
        <f>"9781785450167"</f>
        <v>9781785450167</v>
      </c>
      <c r="S506" t="str">
        <f>"9781785450174"</f>
        <v>9781785450174</v>
      </c>
      <c r="T506">
        <v>932124643</v>
      </c>
    </row>
    <row r="507" spans="1:20" x14ac:dyDescent="0.25">
      <c r="A507">
        <v>1042293</v>
      </c>
      <c r="B507" t="s">
        <v>2722</v>
      </c>
      <c r="D507" t="s">
        <v>203</v>
      </c>
      <c r="E507" t="s">
        <v>1199</v>
      </c>
      <c r="F507">
        <v>2015</v>
      </c>
      <c r="G507" t="s">
        <v>322</v>
      </c>
      <c r="H507" t="s">
        <v>2723</v>
      </c>
      <c r="I507" t="s">
        <v>2724</v>
      </c>
      <c r="J507" t="s">
        <v>26</v>
      </c>
      <c r="K507" t="s">
        <v>48</v>
      </c>
      <c r="L507" t="b">
        <v>1</v>
      </c>
      <c r="M507" t="s">
        <v>2725</v>
      </c>
      <c r="N507" t="str">
        <f>"658.422"</f>
        <v>658.422</v>
      </c>
      <c r="P507" t="b">
        <v>0</v>
      </c>
      <c r="R507" t="str">
        <f>"9781785450129"</f>
        <v>9781785450129</v>
      </c>
      <c r="S507" t="str">
        <f>"9781785450136"</f>
        <v>9781785450136</v>
      </c>
      <c r="T507">
        <v>932124641</v>
      </c>
    </row>
    <row r="508" spans="1:20" x14ac:dyDescent="0.25">
      <c r="A508">
        <v>1041671</v>
      </c>
      <c r="B508" t="s">
        <v>2726</v>
      </c>
      <c r="C508" t="s">
        <v>2727</v>
      </c>
      <c r="D508" t="s">
        <v>203</v>
      </c>
      <c r="E508" t="s">
        <v>2728</v>
      </c>
      <c r="F508">
        <v>2014</v>
      </c>
      <c r="G508" t="s">
        <v>2729</v>
      </c>
      <c r="H508" t="s">
        <v>2730</v>
      </c>
      <c r="I508" t="s">
        <v>2731</v>
      </c>
      <c r="J508" t="s">
        <v>26</v>
      </c>
      <c r="K508" t="s">
        <v>48</v>
      </c>
      <c r="L508" t="b">
        <v>1</v>
      </c>
      <c r="M508" t="s">
        <v>2732</v>
      </c>
      <c r="N508" t="str">
        <f>"362.198923400092"</f>
        <v>362.198923400092</v>
      </c>
      <c r="P508" t="b">
        <v>0</v>
      </c>
      <c r="R508" t="str">
        <f>"9781909623729"</f>
        <v>9781909623729</v>
      </c>
      <c r="S508" t="str">
        <f>"9781784520564"</f>
        <v>9781784520564</v>
      </c>
      <c r="T508">
        <v>897071608</v>
      </c>
    </row>
    <row r="509" spans="1:20" x14ac:dyDescent="0.25">
      <c r="A509">
        <v>1041222</v>
      </c>
      <c r="B509" t="s">
        <v>2733</v>
      </c>
      <c r="C509" t="s">
        <v>2734</v>
      </c>
      <c r="D509" t="s">
        <v>203</v>
      </c>
      <c r="E509" t="s">
        <v>2735</v>
      </c>
      <c r="F509">
        <v>2011</v>
      </c>
      <c r="G509" t="s">
        <v>2718</v>
      </c>
      <c r="H509" t="s">
        <v>2736</v>
      </c>
      <c r="I509" t="s">
        <v>2737</v>
      </c>
      <c r="J509" t="s">
        <v>26</v>
      </c>
      <c r="K509" t="s">
        <v>48</v>
      </c>
      <c r="L509" t="b">
        <v>1</v>
      </c>
      <c r="M509" t="s">
        <v>2738</v>
      </c>
      <c r="N509" t="str">
        <f>"302"</f>
        <v>302</v>
      </c>
      <c r="P509" t="b">
        <v>0</v>
      </c>
      <c r="R509" t="str">
        <f>"9781905177448"</f>
        <v>9781905177448</v>
      </c>
      <c r="S509" t="str">
        <f>"9781780662862"</f>
        <v>9781780662862</v>
      </c>
      <c r="T509">
        <v>894792463</v>
      </c>
    </row>
    <row r="510" spans="1:20" x14ac:dyDescent="0.25">
      <c r="A510">
        <v>1040715</v>
      </c>
      <c r="B510" t="s">
        <v>2739</v>
      </c>
      <c r="C510" t="s">
        <v>2740</v>
      </c>
      <c r="D510" t="s">
        <v>644</v>
      </c>
      <c r="E510" t="s">
        <v>2741</v>
      </c>
      <c r="F510">
        <v>2015</v>
      </c>
      <c r="G510" t="s">
        <v>2742</v>
      </c>
      <c r="H510" t="s">
        <v>2743</v>
      </c>
      <c r="I510" t="s">
        <v>2744</v>
      </c>
      <c r="J510" t="s">
        <v>26</v>
      </c>
      <c r="K510" t="s">
        <v>48</v>
      </c>
      <c r="L510" t="b">
        <v>1</v>
      </c>
      <c r="M510" t="s">
        <v>2745</v>
      </c>
      <c r="N510" t="str">
        <f>"303.483"</f>
        <v>303.483</v>
      </c>
      <c r="P510" t="b">
        <v>0</v>
      </c>
      <c r="Q510" t="b">
        <v>0</v>
      </c>
      <c r="R510" t="str">
        <f>"9781848318182"</f>
        <v>9781848318182</v>
      </c>
      <c r="S510" t="str">
        <f>"9781848318199"</f>
        <v>9781848318199</v>
      </c>
      <c r="T510">
        <v>896855453</v>
      </c>
    </row>
    <row r="511" spans="1:20" x14ac:dyDescent="0.25">
      <c r="A511">
        <v>1040532</v>
      </c>
      <c r="B511" t="s">
        <v>2746</v>
      </c>
      <c r="C511" t="s">
        <v>2747</v>
      </c>
      <c r="D511" t="s">
        <v>644</v>
      </c>
      <c r="E511" t="s">
        <v>637</v>
      </c>
      <c r="F511">
        <v>2014</v>
      </c>
      <c r="G511" t="s">
        <v>242</v>
      </c>
      <c r="H511" t="s">
        <v>2748</v>
      </c>
      <c r="I511" t="s">
        <v>2749</v>
      </c>
      <c r="J511" t="s">
        <v>26</v>
      </c>
      <c r="K511" t="s">
        <v>48</v>
      </c>
      <c r="L511" t="b">
        <v>1</v>
      </c>
      <c r="M511" t="s">
        <v>2750</v>
      </c>
      <c r="N511" t="str">
        <f>"305.23;827.52"</f>
        <v>305.23;827.52</v>
      </c>
      <c r="P511" t="b">
        <v>0</v>
      </c>
      <c r="R511" t="str">
        <f>"9781781172339"</f>
        <v>9781781172339</v>
      </c>
      <c r="S511" t="str">
        <f>"9781781173442"</f>
        <v>9781781173442</v>
      </c>
      <c r="T511">
        <v>890530754</v>
      </c>
    </row>
    <row r="512" spans="1:20" x14ac:dyDescent="0.25">
      <c r="A512">
        <v>1040163</v>
      </c>
      <c r="B512" t="s">
        <v>2751</v>
      </c>
      <c r="D512" t="s">
        <v>644</v>
      </c>
      <c r="E512" t="s">
        <v>637</v>
      </c>
      <c r="F512">
        <v>2014</v>
      </c>
      <c r="G512" t="s">
        <v>645</v>
      </c>
      <c r="H512" t="s">
        <v>2752</v>
      </c>
      <c r="J512" t="s">
        <v>26</v>
      </c>
      <c r="K512" t="s">
        <v>48</v>
      </c>
      <c r="L512" t="b">
        <v>1</v>
      </c>
      <c r="M512" t="s">
        <v>2753</v>
      </c>
      <c r="N512" t="str">
        <f>"941.5082/1"</f>
        <v>941.5082/1</v>
      </c>
      <c r="P512" t="b">
        <v>0</v>
      </c>
      <c r="R512" t="str">
        <f>"9781781171592"</f>
        <v>9781781171592</v>
      </c>
      <c r="S512" t="str">
        <f>"9781781173084"</f>
        <v>9781781173084</v>
      </c>
      <c r="T512">
        <v>888748584</v>
      </c>
    </row>
    <row r="513" spans="1:20" x14ac:dyDescent="0.25">
      <c r="A513">
        <v>1039760</v>
      </c>
      <c r="B513" t="s">
        <v>2754</v>
      </c>
      <c r="D513" t="s">
        <v>203</v>
      </c>
      <c r="E513" t="s">
        <v>2755</v>
      </c>
      <c r="F513">
        <v>2014</v>
      </c>
      <c r="G513" t="s">
        <v>2756</v>
      </c>
      <c r="H513" t="s">
        <v>2757</v>
      </c>
      <c r="J513" t="s">
        <v>26</v>
      </c>
      <c r="K513" t="s">
        <v>48</v>
      </c>
      <c r="L513" t="b">
        <v>1</v>
      </c>
      <c r="M513" t="s">
        <v>2758</v>
      </c>
      <c r="N513" t="str">
        <f>"972.85"</f>
        <v>972.85</v>
      </c>
      <c r="O513" t="s">
        <v>2759</v>
      </c>
      <c r="P513" t="b">
        <v>0</v>
      </c>
      <c r="R513" t="str">
        <f>"9781907263897"</f>
        <v>9781907263897</v>
      </c>
      <c r="S513" t="str">
        <f>"9781910120194"</f>
        <v>9781910120194</v>
      </c>
      <c r="T513">
        <v>888746793</v>
      </c>
    </row>
    <row r="514" spans="1:20" x14ac:dyDescent="0.25">
      <c r="A514">
        <v>1039756</v>
      </c>
      <c r="B514" t="s">
        <v>2760</v>
      </c>
      <c r="C514" t="s">
        <v>2761</v>
      </c>
      <c r="D514" t="s">
        <v>203</v>
      </c>
      <c r="E514" t="s">
        <v>2755</v>
      </c>
      <c r="F514">
        <v>2014</v>
      </c>
      <c r="G514" t="s">
        <v>2762</v>
      </c>
      <c r="H514" t="s">
        <v>2763</v>
      </c>
      <c r="J514" t="s">
        <v>26</v>
      </c>
      <c r="K514" t="s">
        <v>48</v>
      </c>
      <c r="L514" t="b">
        <v>1</v>
      </c>
      <c r="M514" t="s">
        <v>2764</v>
      </c>
      <c r="N514" t="str">
        <f>"946.85"</f>
        <v>946.85</v>
      </c>
      <c r="O514" t="s">
        <v>2765</v>
      </c>
      <c r="P514" t="b">
        <v>0</v>
      </c>
      <c r="R514" t="str">
        <f>"9781909268807"</f>
        <v>9781909268807</v>
      </c>
      <c r="S514" t="str">
        <f>"9781910120156"</f>
        <v>9781910120156</v>
      </c>
      <c r="T514">
        <v>888746769</v>
      </c>
    </row>
    <row r="515" spans="1:20" x14ac:dyDescent="0.25">
      <c r="A515">
        <v>1039755</v>
      </c>
      <c r="B515" t="s">
        <v>2766</v>
      </c>
      <c r="C515" t="s">
        <v>2767</v>
      </c>
      <c r="D515" t="s">
        <v>203</v>
      </c>
      <c r="E515" t="s">
        <v>2755</v>
      </c>
      <c r="F515">
        <v>2014</v>
      </c>
      <c r="G515" t="s">
        <v>2762</v>
      </c>
      <c r="H515" t="s">
        <v>2768</v>
      </c>
      <c r="J515" t="s">
        <v>26</v>
      </c>
      <c r="K515" t="s">
        <v>48</v>
      </c>
      <c r="L515" t="b">
        <v>1</v>
      </c>
      <c r="M515" t="s">
        <v>2769</v>
      </c>
      <c r="N515" t="str">
        <f>"914.6604"</f>
        <v>914.6604</v>
      </c>
      <c r="O515" t="s">
        <v>2765</v>
      </c>
      <c r="P515" t="b">
        <v>0</v>
      </c>
      <c r="R515" t="str">
        <f>"9781909268647"</f>
        <v>9781909268647</v>
      </c>
      <c r="S515" t="str">
        <f>"9781910120149"</f>
        <v>9781910120149</v>
      </c>
      <c r="T515">
        <v>888746761</v>
      </c>
    </row>
    <row r="516" spans="1:20" x14ac:dyDescent="0.25">
      <c r="A516">
        <v>1039603</v>
      </c>
      <c r="B516" t="s">
        <v>2770</v>
      </c>
      <c r="D516" t="s">
        <v>131</v>
      </c>
      <c r="E516" t="s">
        <v>669</v>
      </c>
      <c r="F516">
        <v>2014</v>
      </c>
      <c r="G516" t="s">
        <v>2771</v>
      </c>
      <c r="H516" t="s">
        <v>2772</v>
      </c>
      <c r="I516" t="s">
        <v>2773</v>
      </c>
      <c r="J516" t="s">
        <v>26</v>
      </c>
      <c r="K516" t="s">
        <v>48</v>
      </c>
      <c r="L516" t="b">
        <v>1</v>
      </c>
      <c r="M516" t="s">
        <v>2774</v>
      </c>
      <c r="N516" t="str">
        <f>"808.02"</f>
        <v>808.02</v>
      </c>
      <c r="P516" t="b">
        <v>0</v>
      </c>
      <c r="R516" t="str">
        <f>"9781783191031"</f>
        <v>9781783191031</v>
      </c>
      <c r="S516" t="str">
        <f>"9781783196029"</f>
        <v>9781783196029</v>
      </c>
      <c r="T516">
        <v>936117860</v>
      </c>
    </row>
    <row r="517" spans="1:20" x14ac:dyDescent="0.25">
      <c r="A517">
        <v>1039553</v>
      </c>
      <c r="B517" t="s">
        <v>2775</v>
      </c>
      <c r="D517" t="s">
        <v>644</v>
      </c>
      <c r="E517" t="s">
        <v>637</v>
      </c>
      <c r="F517">
        <v>2014</v>
      </c>
      <c r="G517" t="s">
        <v>645</v>
      </c>
      <c r="H517" t="s">
        <v>2776</v>
      </c>
      <c r="I517" t="s">
        <v>2777</v>
      </c>
      <c r="J517" t="s">
        <v>26</v>
      </c>
      <c r="K517" t="s">
        <v>48</v>
      </c>
      <c r="L517" t="b">
        <v>1</v>
      </c>
      <c r="M517" t="s">
        <v>2778</v>
      </c>
      <c r="N517" t="str">
        <f>"941.5082/1"</f>
        <v>941.5082/1</v>
      </c>
      <c r="O517" t="s">
        <v>2779</v>
      </c>
      <c r="P517" t="b">
        <v>0</v>
      </c>
      <c r="R517" t="str">
        <f>"9781781172452"</f>
        <v>9781781172452</v>
      </c>
      <c r="S517" t="str">
        <f>"9781781173046"</f>
        <v>9781781173046</v>
      </c>
      <c r="T517">
        <v>895116260</v>
      </c>
    </row>
    <row r="518" spans="1:20" x14ac:dyDescent="0.25">
      <c r="A518">
        <v>1038731</v>
      </c>
      <c r="B518" t="s">
        <v>2780</v>
      </c>
      <c r="D518" t="s">
        <v>644</v>
      </c>
      <c r="E518" t="s">
        <v>637</v>
      </c>
      <c r="F518">
        <v>2014</v>
      </c>
      <c r="G518" t="s">
        <v>645</v>
      </c>
      <c r="H518" t="s">
        <v>2781</v>
      </c>
      <c r="J518" t="s">
        <v>26</v>
      </c>
      <c r="K518" t="s">
        <v>48</v>
      </c>
      <c r="L518" t="b">
        <v>1</v>
      </c>
      <c r="M518" t="s">
        <v>2782</v>
      </c>
      <c r="N518" t="str">
        <f>"941.5082/1"</f>
        <v>941.5082/1</v>
      </c>
      <c r="P518" t="b">
        <v>0</v>
      </c>
      <c r="R518" t="str">
        <f>"9781781172445"</f>
        <v>9781781172445</v>
      </c>
      <c r="S518" t="str">
        <f>"9781781173022"</f>
        <v>9781781173022</v>
      </c>
      <c r="T518">
        <v>918983992</v>
      </c>
    </row>
    <row r="519" spans="1:20" x14ac:dyDescent="0.25">
      <c r="A519">
        <v>1038488</v>
      </c>
      <c r="B519" t="s">
        <v>2783</v>
      </c>
      <c r="C519" t="s">
        <v>2784</v>
      </c>
      <c r="D519" t="s">
        <v>644</v>
      </c>
      <c r="E519" t="s">
        <v>637</v>
      </c>
      <c r="F519">
        <v>2014</v>
      </c>
      <c r="G519" t="s">
        <v>1879</v>
      </c>
      <c r="H519" t="s">
        <v>2785</v>
      </c>
      <c r="J519" t="s">
        <v>26</v>
      </c>
      <c r="K519" t="s">
        <v>48</v>
      </c>
      <c r="L519" t="b">
        <v>1</v>
      </c>
      <c r="M519" t="s">
        <v>2786</v>
      </c>
      <c r="N519" t="str">
        <f>"822.914"</f>
        <v>822.914</v>
      </c>
      <c r="P519" t="b">
        <v>1</v>
      </c>
      <c r="R519" t="str">
        <f>"9781781172858"</f>
        <v>9781781172858</v>
      </c>
      <c r="S519" t="str">
        <f>"9781781172865"</f>
        <v>9781781172865</v>
      </c>
      <c r="T519">
        <v>918983991</v>
      </c>
    </row>
    <row r="520" spans="1:20" x14ac:dyDescent="0.25">
      <c r="A520">
        <v>1036612</v>
      </c>
      <c r="B520" t="s">
        <v>2787</v>
      </c>
      <c r="D520" t="s">
        <v>203</v>
      </c>
      <c r="E520" t="s">
        <v>2788</v>
      </c>
      <c r="F520">
        <v>2014</v>
      </c>
      <c r="G520" t="s">
        <v>2789</v>
      </c>
      <c r="H520" t="s">
        <v>2790</v>
      </c>
      <c r="I520" t="s">
        <v>2791</v>
      </c>
      <c r="J520" t="s">
        <v>26</v>
      </c>
      <c r="K520" t="s">
        <v>48</v>
      </c>
      <c r="L520" t="b">
        <v>1</v>
      </c>
      <c r="M520" t="s">
        <v>2792</v>
      </c>
      <c r="N520" t="str">
        <f>"330.94"</f>
        <v>330.94</v>
      </c>
      <c r="P520" t="b">
        <v>0</v>
      </c>
      <c r="R520" t="str">
        <f>"9781781191422"</f>
        <v>9781781191422</v>
      </c>
      <c r="S520" t="str">
        <f>"9781781191439"</f>
        <v>9781781191439</v>
      </c>
      <c r="T520">
        <v>919087259</v>
      </c>
    </row>
    <row r="521" spans="1:20" x14ac:dyDescent="0.25">
      <c r="A521">
        <v>1034890</v>
      </c>
      <c r="B521" t="s">
        <v>2793</v>
      </c>
      <c r="D521" t="s">
        <v>203</v>
      </c>
      <c r="E521" t="s">
        <v>2794</v>
      </c>
      <c r="F521">
        <v>2014</v>
      </c>
      <c r="G521" t="s">
        <v>2795</v>
      </c>
      <c r="H521" t="s">
        <v>2796</v>
      </c>
      <c r="J521" t="s">
        <v>2797</v>
      </c>
      <c r="K521" t="s">
        <v>86</v>
      </c>
      <c r="L521" t="b">
        <v>1</v>
      </c>
      <c r="M521" t="s">
        <v>2798</v>
      </c>
      <c r="N521" t="str">
        <f>"821.914"</f>
        <v>821.914</v>
      </c>
      <c r="P521" t="b">
        <v>1</v>
      </c>
      <c r="S521" t="str">
        <f>"9781782374763"</f>
        <v>9781782374763</v>
      </c>
      <c r="T521">
        <v>891384917</v>
      </c>
    </row>
    <row r="522" spans="1:20" x14ac:dyDescent="0.25">
      <c r="A522">
        <v>1034588</v>
      </c>
      <c r="B522" t="s">
        <v>2799</v>
      </c>
      <c r="C522" t="s">
        <v>2800</v>
      </c>
      <c r="D522" t="s">
        <v>203</v>
      </c>
      <c r="E522" t="s">
        <v>2801</v>
      </c>
      <c r="F522">
        <v>2011</v>
      </c>
      <c r="G522" t="s">
        <v>2802</v>
      </c>
      <c r="H522" t="s">
        <v>2803</v>
      </c>
      <c r="I522" t="s">
        <v>2804</v>
      </c>
      <c r="J522" t="s">
        <v>26</v>
      </c>
      <c r="K522" t="s">
        <v>86</v>
      </c>
      <c r="L522" t="b">
        <v>1</v>
      </c>
      <c r="M522" t="s">
        <v>2805</v>
      </c>
      <c r="N522" t="str">
        <f>"374"</f>
        <v>374</v>
      </c>
      <c r="P522" t="b">
        <v>0</v>
      </c>
      <c r="R522" t="str">
        <f>"9781862014602"</f>
        <v>9781862014602</v>
      </c>
      <c r="S522" t="str">
        <f>"9781862014985"</f>
        <v>9781862014985</v>
      </c>
      <c r="T522">
        <v>827455681</v>
      </c>
    </row>
    <row r="523" spans="1:20" x14ac:dyDescent="0.25">
      <c r="A523">
        <v>1034585</v>
      </c>
      <c r="B523" t="s">
        <v>2806</v>
      </c>
      <c r="C523" t="s">
        <v>2807</v>
      </c>
      <c r="D523" t="s">
        <v>203</v>
      </c>
      <c r="E523" t="s">
        <v>2801</v>
      </c>
      <c r="F523">
        <v>2011</v>
      </c>
      <c r="G523" t="s">
        <v>2802</v>
      </c>
      <c r="H523" t="s">
        <v>2808</v>
      </c>
      <c r="I523" t="s">
        <v>2809</v>
      </c>
      <c r="J523" t="s">
        <v>26</v>
      </c>
      <c r="K523" t="s">
        <v>86</v>
      </c>
      <c r="L523" t="b">
        <v>1</v>
      </c>
      <c r="M523" t="s">
        <v>2810</v>
      </c>
      <c r="N523" t="str">
        <f>"374.001"</f>
        <v>374.001</v>
      </c>
      <c r="P523" t="b">
        <v>0</v>
      </c>
      <c r="R523" t="str">
        <f>"9781862014541"</f>
        <v>9781862014541</v>
      </c>
      <c r="S523" t="str">
        <f>"9781862014954"</f>
        <v>9781862014954</v>
      </c>
      <c r="T523">
        <v>1002925447</v>
      </c>
    </row>
    <row r="524" spans="1:20" x14ac:dyDescent="0.25">
      <c r="A524">
        <v>1034541</v>
      </c>
      <c r="B524" t="s">
        <v>2811</v>
      </c>
      <c r="D524" t="s">
        <v>203</v>
      </c>
      <c r="E524" t="s">
        <v>2801</v>
      </c>
      <c r="F524">
        <v>2012</v>
      </c>
      <c r="G524" t="s">
        <v>2802</v>
      </c>
      <c r="H524" t="s">
        <v>2812</v>
      </c>
      <c r="I524" t="s">
        <v>2813</v>
      </c>
      <c r="J524" t="s">
        <v>26</v>
      </c>
      <c r="K524" t="s">
        <v>86</v>
      </c>
      <c r="L524" t="b">
        <v>1</v>
      </c>
      <c r="M524" t="s">
        <v>2814</v>
      </c>
      <c r="N524" t="str">
        <f>"302.2/244"</f>
        <v>302.2/244</v>
      </c>
      <c r="P524" t="b">
        <v>0</v>
      </c>
      <c r="R524" t="str">
        <f>"9781862015845"</f>
        <v>9781862015845</v>
      </c>
      <c r="S524" t="str">
        <f>"9781862015852"</f>
        <v>9781862015852</v>
      </c>
      <c r="T524">
        <v>827211997</v>
      </c>
    </row>
    <row r="525" spans="1:20" x14ac:dyDescent="0.25">
      <c r="A525">
        <v>1034467</v>
      </c>
      <c r="B525" t="s">
        <v>2815</v>
      </c>
      <c r="D525" t="s">
        <v>131</v>
      </c>
      <c r="E525" t="s">
        <v>669</v>
      </c>
      <c r="F525">
        <v>2014</v>
      </c>
      <c r="G525" t="s">
        <v>489</v>
      </c>
      <c r="H525" t="s">
        <v>2816</v>
      </c>
      <c r="I525" t="s">
        <v>1069</v>
      </c>
      <c r="J525" t="s">
        <v>26</v>
      </c>
      <c r="K525" t="s">
        <v>48</v>
      </c>
      <c r="L525" t="b">
        <v>1</v>
      </c>
      <c r="M525" t="s">
        <v>2817</v>
      </c>
      <c r="N525" t="str">
        <f>"832/.914"</f>
        <v>832/.914</v>
      </c>
      <c r="O525" t="s">
        <v>764</v>
      </c>
      <c r="P525" t="b">
        <v>1</v>
      </c>
      <c r="R525" t="str">
        <f>"9781783190621"</f>
        <v>9781783190621</v>
      </c>
      <c r="S525" t="str">
        <f>"9781783195619"</f>
        <v>9781783195619</v>
      </c>
      <c r="T525">
        <v>896837128</v>
      </c>
    </row>
    <row r="526" spans="1:20" x14ac:dyDescent="0.25">
      <c r="A526">
        <v>1033315</v>
      </c>
      <c r="B526" t="s">
        <v>2818</v>
      </c>
      <c r="D526" t="s">
        <v>131</v>
      </c>
      <c r="E526" t="s">
        <v>669</v>
      </c>
      <c r="F526">
        <v>2012</v>
      </c>
      <c r="G526" t="s">
        <v>1130</v>
      </c>
      <c r="H526" t="s">
        <v>2819</v>
      </c>
      <c r="I526" t="s">
        <v>2820</v>
      </c>
      <c r="J526" t="s">
        <v>26</v>
      </c>
      <c r="K526" t="s">
        <v>48</v>
      </c>
      <c r="L526" t="b">
        <v>1</v>
      </c>
      <c r="M526" t="s">
        <v>2821</v>
      </c>
      <c r="N526" t="str">
        <f>"822.92"</f>
        <v>822.92</v>
      </c>
      <c r="P526" t="b">
        <v>1</v>
      </c>
      <c r="R526" t="str">
        <f>"9781840025811"</f>
        <v>9781840025811</v>
      </c>
      <c r="S526" t="str">
        <f>"9781849435840"</f>
        <v>9781849435840</v>
      </c>
      <c r="T526">
        <v>870601266</v>
      </c>
    </row>
    <row r="527" spans="1:20" x14ac:dyDescent="0.25">
      <c r="A527">
        <v>1033312</v>
      </c>
      <c r="B527" t="s">
        <v>2822</v>
      </c>
      <c r="D527" t="s">
        <v>131</v>
      </c>
      <c r="E527" t="s">
        <v>669</v>
      </c>
      <c r="F527">
        <v>2012</v>
      </c>
      <c r="G527" t="s">
        <v>1130</v>
      </c>
      <c r="H527" t="s">
        <v>2823</v>
      </c>
      <c r="I527" t="s">
        <v>2824</v>
      </c>
      <c r="J527" t="s">
        <v>26</v>
      </c>
      <c r="K527" t="s">
        <v>48</v>
      </c>
      <c r="L527" t="b">
        <v>1</v>
      </c>
      <c r="M527" t="s">
        <v>2825</v>
      </c>
      <c r="N527" t="str">
        <f>"822.01"</f>
        <v>822.01</v>
      </c>
      <c r="P527" t="b">
        <v>1</v>
      </c>
      <c r="R527" t="str">
        <f>"9781840022612"</f>
        <v>9781840022612</v>
      </c>
      <c r="S527" t="str">
        <f>"9781849436144"</f>
        <v>9781849436144</v>
      </c>
      <c r="T527">
        <v>870601034</v>
      </c>
    </row>
    <row r="528" spans="1:20" x14ac:dyDescent="0.25">
      <c r="A528">
        <v>1033311</v>
      </c>
      <c r="B528" t="s">
        <v>2826</v>
      </c>
      <c r="D528" t="s">
        <v>131</v>
      </c>
      <c r="E528" t="s">
        <v>669</v>
      </c>
      <c r="F528">
        <v>2012</v>
      </c>
      <c r="G528" t="s">
        <v>1130</v>
      </c>
      <c r="H528" t="s">
        <v>2827</v>
      </c>
      <c r="I528" t="s">
        <v>2828</v>
      </c>
      <c r="J528" t="s">
        <v>26</v>
      </c>
      <c r="K528" t="s">
        <v>48</v>
      </c>
      <c r="L528" t="b">
        <v>1</v>
      </c>
      <c r="M528" t="s">
        <v>2829</v>
      </c>
      <c r="N528" t="str">
        <f>"822.914"</f>
        <v>822.914</v>
      </c>
      <c r="O528" t="s">
        <v>912</v>
      </c>
      <c r="P528" t="b">
        <v>1</v>
      </c>
      <c r="R528" t="str">
        <f>"9781840027570"</f>
        <v>9781840027570</v>
      </c>
      <c r="S528" t="str">
        <f>"9781849431408"</f>
        <v>9781849431408</v>
      </c>
      <c r="T528">
        <v>974279912</v>
      </c>
    </row>
    <row r="529" spans="1:20" x14ac:dyDescent="0.25">
      <c r="A529">
        <v>1033307</v>
      </c>
      <c r="B529" t="s">
        <v>2830</v>
      </c>
      <c r="D529" t="s">
        <v>131</v>
      </c>
      <c r="E529" t="s">
        <v>669</v>
      </c>
      <c r="F529">
        <v>2012</v>
      </c>
      <c r="G529" t="s">
        <v>1130</v>
      </c>
      <c r="H529" t="s">
        <v>2831</v>
      </c>
      <c r="I529" t="s">
        <v>2832</v>
      </c>
      <c r="J529" t="s">
        <v>26</v>
      </c>
      <c r="K529" t="s">
        <v>48</v>
      </c>
      <c r="L529" t="b">
        <v>1</v>
      </c>
      <c r="M529" t="s">
        <v>2833</v>
      </c>
      <c r="N529" t="str">
        <f>"822.92"</f>
        <v>822.92</v>
      </c>
      <c r="O529" t="s">
        <v>912</v>
      </c>
      <c r="P529" t="b">
        <v>1</v>
      </c>
      <c r="R529" t="str">
        <f>"9781849433860"</f>
        <v>9781849433860</v>
      </c>
      <c r="S529" t="str">
        <f>"9781849436229"</f>
        <v>9781849436229</v>
      </c>
      <c r="T529">
        <v>895728953</v>
      </c>
    </row>
    <row r="530" spans="1:20" x14ac:dyDescent="0.25">
      <c r="A530">
        <v>1033303</v>
      </c>
      <c r="B530" t="s">
        <v>2834</v>
      </c>
      <c r="D530" t="s">
        <v>131</v>
      </c>
      <c r="E530" t="s">
        <v>669</v>
      </c>
      <c r="F530">
        <v>2012</v>
      </c>
      <c r="G530" t="s">
        <v>1130</v>
      </c>
      <c r="H530" t="s">
        <v>2835</v>
      </c>
      <c r="J530" t="s">
        <v>26</v>
      </c>
      <c r="K530" t="s">
        <v>48</v>
      </c>
      <c r="L530" t="b">
        <v>1</v>
      </c>
      <c r="M530" t="s">
        <v>2836</v>
      </c>
      <c r="N530" t="str">
        <f>"822.914"</f>
        <v>822.914</v>
      </c>
      <c r="O530" t="s">
        <v>912</v>
      </c>
      <c r="P530" t="b">
        <v>1</v>
      </c>
      <c r="R530" t="str">
        <f>"9781849432429"</f>
        <v>9781849432429</v>
      </c>
      <c r="S530" t="str">
        <f>"9781849435789"</f>
        <v>9781849435789</v>
      </c>
      <c r="T530">
        <v>974330170</v>
      </c>
    </row>
    <row r="531" spans="1:20" x14ac:dyDescent="0.25">
      <c r="A531">
        <v>1033296</v>
      </c>
      <c r="B531" t="s">
        <v>2837</v>
      </c>
      <c r="D531" t="s">
        <v>131</v>
      </c>
      <c r="E531" t="s">
        <v>669</v>
      </c>
      <c r="F531">
        <v>2012</v>
      </c>
      <c r="G531" t="s">
        <v>1130</v>
      </c>
      <c r="H531" t="s">
        <v>2838</v>
      </c>
      <c r="J531" t="s">
        <v>26</v>
      </c>
      <c r="K531" t="s">
        <v>48</v>
      </c>
      <c r="L531" t="b">
        <v>1</v>
      </c>
      <c r="M531" t="s">
        <v>2839</v>
      </c>
      <c r="N531" t="str">
        <f>"821/.92"</f>
        <v>821/.92</v>
      </c>
      <c r="O531" t="s">
        <v>912</v>
      </c>
      <c r="P531" t="b">
        <v>1</v>
      </c>
      <c r="R531" t="str">
        <f>"9781849435048"</f>
        <v>9781849435048</v>
      </c>
      <c r="S531" t="str">
        <f>"9781849437127"</f>
        <v>9781849437127</v>
      </c>
      <c r="T531">
        <v>895732432</v>
      </c>
    </row>
    <row r="532" spans="1:20" x14ac:dyDescent="0.25">
      <c r="A532">
        <v>1033282</v>
      </c>
      <c r="B532" t="s">
        <v>2840</v>
      </c>
      <c r="D532" t="s">
        <v>131</v>
      </c>
      <c r="E532" t="s">
        <v>669</v>
      </c>
      <c r="F532">
        <v>2012</v>
      </c>
      <c r="G532" t="s">
        <v>1130</v>
      </c>
      <c r="H532" t="s">
        <v>2841</v>
      </c>
      <c r="I532" t="s">
        <v>2842</v>
      </c>
      <c r="J532" t="s">
        <v>26</v>
      </c>
      <c r="K532" t="s">
        <v>48</v>
      </c>
      <c r="L532" t="b">
        <v>1</v>
      </c>
      <c r="M532" t="s">
        <v>2843</v>
      </c>
      <c r="N532" t="str">
        <f>"822/.92"</f>
        <v>822/.92</v>
      </c>
      <c r="P532" t="b">
        <v>1</v>
      </c>
      <c r="R532" t="str">
        <f>"9781840028164"</f>
        <v>9781840028164</v>
      </c>
      <c r="S532" t="str">
        <f>"9781849433464"</f>
        <v>9781849433464</v>
      </c>
      <c r="T532">
        <v>818862217</v>
      </c>
    </row>
    <row r="533" spans="1:20" x14ac:dyDescent="0.25">
      <c r="A533">
        <v>1033278</v>
      </c>
      <c r="B533" t="s">
        <v>2844</v>
      </c>
      <c r="D533" t="s">
        <v>131</v>
      </c>
      <c r="E533" t="s">
        <v>669</v>
      </c>
      <c r="F533">
        <v>2012</v>
      </c>
      <c r="G533" t="s">
        <v>1130</v>
      </c>
      <c r="H533" t="s">
        <v>2845</v>
      </c>
      <c r="I533" t="s">
        <v>2846</v>
      </c>
      <c r="J533" t="s">
        <v>26</v>
      </c>
      <c r="K533" t="s">
        <v>48</v>
      </c>
      <c r="L533" t="b">
        <v>1</v>
      </c>
      <c r="M533" t="s">
        <v>2847</v>
      </c>
      <c r="N533" t="str">
        <f>"822/.8"</f>
        <v>822/.8</v>
      </c>
      <c r="O533" t="s">
        <v>912</v>
      </c>
      <c r="P533" t="b">
        <v>1</v>
      </c>
      <c r="R533" t="str">
        <f>"9781849433921"</f>
        <v>9781849433921</v>
      </c>
      <c r="S533" t="str">
        <f>"9781849436397"</f>
        <v>9781849436397</v>
      </c>
      <c r="T533">
        <v>903603477</v>
      </c>
    </row>
    <row r="534" spans="1:20" x14ac:dyDescent="0.25">
      <c r="A534">
        <v>1033275</v>
      </c>
      <c r="B534" t="s">
        <v>2848</v>
      </c>
      <c r="D534" t="s">
        <v>131</v>
      </c>
      <c r="E534" t="s">
        <v>669</v>
      </c>
      <c r="F534">
        <v>2011</v>
      </c>
      <c r="G534" t="s">
        <v>1130</v>
      </c>
      <c r="H534" t="s">
        <v>2849</v>
      </c>
      <c r="J534" t="s">
        <v>26</v>
      </c>
      <c r="K534" t="s">
        <v>48</v>
      </c>
      <c r="L534" t="b">
        <v>1</v>
      </c>
      <c r="M534" t="s">
        <v>2850</v>
      </c>
      <c r="N534" t="str">
        <f>"822.92"</f>
        <v>822.92</v>
      </c>
      <c r="O534" t="s">
        <v>912</v>
      </c>
      <c r="P534" t="b">
        <v>1</v>
      </c>
      <c r="R534" t="str">
        <f>"9781849431637"</f>
        <v>9781849431637</v>
      </c>
      <c r="S534" t="str">
        <f>"9781849437257"</f>
        <v>9781849437257</v>
      </c>
      <c r="T534">
        <v>870601246</v>
      </c>
    </row>
    <row r="535" spans="1:20" x14ac:dyDescent="0.25">
      <c r="A535">
        <v>1033264</v>
      </c>
      <c r="B535" t="s">
        <v>2851</v>
      </c>
      <c r="D535" t="s">
        <v>131</v>
      </c>
      <c r="E535" t="s">
        <v>669</v>
      </c>
      <c r="F535">
        <v>2006</v>
      </c>
      <c r="G535" t="s">
        <v>1130</v>
      </c>
      <c r="H535" t="s">
        <v>2852</v>
      </c>
      <c r="I535" t="s">
        <v>2853</v>
      </c>
      <c r="J535" t="s">
        <v>26</v>
      </c>
      <c r="K535" t="s">
        <v>48</v>
      </c>
      <c r="L535" t="b">
        <v>1</v>
      </c>
      <c r="M535" t="s">
        <v>2854</v>
      </c>
      <c r="N535" t="str">
        <f>"823.92"</f>
        <v>823.92</v>
      </c>
      <c r="O535" t="s">
        <v>2855</v>
      </c>
      <c r="P535" t="b">
        <v>1</v>
      </c>
      <c r="R535" t="str">
        <f>"9781840026597"</f>
        <v>9781840026597</v>
      </c>
      <c r="S535" t="str">
        <f>"9781849437905"</f>
        <v>9781849437905</v>
      </c>
      <c r="T535">
        <v>607640782</v>
      </c>
    </row>
    <row r="536" spans="1:20" x14ac:dyDescent="0.25">
      <c r="A536">
        <v>1033260</v>
      </c>
      <c r="B536" t="s">
        <v>2856</v>
      </c>
      <c r="D536" t="s">
        <v>131</v>
      </c>
      <c r="E536" t="s">
        <v>669</v>
      </c>
      <c r="F536">
        <v>2012</v>
      </c>
      <c r="G536" t="s">
        <v>1130</v>
      </c>
      <c r="H536" t="s">
        <v>2857</v>
      </c>
      <c r="I536" t="s">
        <v>2858</v>
      </c>
      <c r="J536" t="s">
        <v>26</v>
      </c>
      <c r="K536" t="s">
        <v>48</v>
      </c>
      <c r="L536" t="b">
        <v>1</v>
      </c>
      <c r="M536" t="s">
        <v>2859</v>
      </c>
      <c r="N536" t="str">
        <f>"822.92"</f>
        <v>822.92</v>
      </c>
      <c r="O536" t="s">
        <v>912</v>
      </c>
      <c r="P536" t="b">
        <v>1</v>
      </c>
      <c r="R536" t="str">
        <f>"9781849432382"</f>
        <v>9781849432382</v>
      </c>
      <c r="S536" t="str">
        <f>"9781849433587"</f>
        <v>9781849433587</v>
      </c>
      <c r="T536">
        <v>895726499</v>
      </c>
    </row>
    <row r="537" spans="1:20" x14ac:dyDescent="0.25">
      <c r="A537">
        <v>1033256</v>
      </c>
      <c r="B537" t="s">
        <v>2860</v>
      </c>
      <c r="D537" t="s">
        <v>131</v>
      </c>
      <c r="E537" t="s">
        <v>669</v>
      </c>
      <c r="F537">
        <v>2011</v>
      </c>
      <c r="G537" t="s">
        <v>1130</v>
      </c>
      <c r="H537" t="s">
        <v>2861</v>
      </c>
      <c r="I537" t="s">
        <v>2862</v>
      </c>
      <c r="J537" t="s">
        <v>26</v>
      </c>
      <c r="K537" t="s">
        <v>48</v>
      </c>
      <c r="L537" t="b">
        <v>1</v>
      </c>
      <c r="M537" t="s">
        <v>2863</v>
      </c>
      <c r="N537" t="str">
        <f>"822.92"</f>
        <v>822.92</v>
      </c>
      <c r="O537" t="s">
        <v>912</v>
      </c>
      <c r="P537" t="b">
        <v>1</v>
      </c>
      <c r="R537" t="str">
        <f>"9781849431989"</f>
        <v>9781849431989</v>
      </c>
      <c r="S537" t="str">
        <f>"9781849435635"</f>
        <v>9781849435635</v>
      </c>
      <c r="T537">
        <v>903910668</v>
      </c>
    </row>
    <row r="538" spans="1:20" x14ac:dyDescent="0.25">
      <c r="A538">
        <v>1033251</v>
      </c>
      <c r="B538" t="s">
        <v>2864</v>
      </c>
      <c r="D538" t="s">
        <v>131</v>
      </c>
      <c r="E538" t="s">
        <v>669</v>
      </c>
      <c r="F538">
        <v>2011</v>
      </c>
      <c r="G538" t="s">
        <v>1130</v>
      </c>
      <c r="H538" t="s">
        <v>2865</v>
      </c>
      <c r="I538" t="s">
        <v>2866</v>
      </c>
      <c r="J538" t="s">
        <v>26</v>
      </c>
      <c r="K538" t="s">
        <v>48</v>
      </c>
      <c r="L538" t="b">
        <v>1</v>
      </c>
      <c r="M538" t="s">
        <v>2867</v>
      </c>
      <c r="N538" t="str">
        <f>"822.914"</f>
        <v>822.914</v>
      </c>
      <c r="O538" t="s">
        <v>912</v>
      </c>
      <c r="P538" t="b">
        <v>1</v>
      </c>
      <c r="R538" t="str">
        <f>"9781849432108"</f>
        <v>9781849432108</v>
      </c>
      <c r="S538" t="str">
        <f>"9781849437561"</f>
        <v>9781849437561</v>
      </c>
      <c r="T538">
        <v>904208010</v>
      </c>
    </row>
    <row r="539" spans="1:20" x14ac:dyDescent="0.25">
      <c r="A539">
        <v>1033246</v>
      </c>
      <c r="B539" t="s">
        <v>2868</v>
      </c>
      <c r="D539" t="s">
        <v>131</v>
      </c>
      <c r="E539" t="s">
        <v>669</v>
      </c>
      <c r="F539">
        <v>2011</v>
      </c>
      <c r="G539" t="s">
        <v>1130</v>
      </c>
      <c r="H539" t="s">
        <v>2869</v>
      </c>
      <c r="I539" t="s">
        <v>2870</v>
      </c>
      <c r="J539" t="s">
        <v>26</v>
      </c>
      <c r="K539" t="s">
        <v>48</v>
      </c>
      <c r="L539" t="b">
        <v>1</v>
      </c>
      <c r="M539" t="s">
        <v>2871</v>
      </c>
      <c r="N539" t="str">
        <f>"822/.914"</f>
        <v>822/.914</v>
      </c>
      <c r="O539" t="s">
        <v>912</v>
      </c>
      <c r="P539" t="b">
        <v>1</v>
      </c>
      <c r="R539" t="str">
        <f>"9781849430296"</f>
        <v>9781849430296</v>
      </c>
      <c r="S539" t="str">
        <f>"9781849431842"</f>
        <v>9781849431842</v>
      </c>
      <c r="T539">
        <v>903552537</v>
      </c>
    </row>
    <row r="540" spans="1:20" x14ac:dyDescent="0.25">
      <c r="A540">
        <v>1033241</v>
      </c>
      <c r="B540" t="s">
        <v>2872</v>
      </c>
      <c r="C540" t="s">
        <v>2873</v>
      </c>
      <c r="D540" t="s">
        <v>131</v>
      </c>
      <c r="E540" t="s">
        <v>669</v>
      </c>
      <c r="F540">
        <v>2012</v>
      </c>
      <c r="G540" t="s">
        <v>1130</v>
      </c>
      <c r="H540" t="s">
        <v>2874</v>
      </c>
      <c r="I540" t="s">
        <v>2875</v>
      </c>
      <c r="J540" t="s">
        <v>26</v>
      </c>
      <c r="K540" t="s">
        <v>48</v>
      </c>
      <c r="L540" t="b">
        <v>1</v>
      </c>
      <c r="M540" t="s">
        <v>2876</v>
      </c>
      <c r="N540" t="str">
        <f>"822/.914"</f>
        <v>822/.914</v>
      </c>
      <c r="O540" t="s">
        <v>912</v>
      </c>
      <c r="P540" t="b">
        <v>1</v>
      </c>
      <c r="R540" t="str">
        <f>"9781849434072"</f>
        <v>9781849434072</v>
      </c>
      <c r="S540" t="str">
        <f>"9781849435901"</f>
        <v>9781849435901</v>
      </c>
      <c r="T540">
        <v>818797016</v>
      </c>
    </row>
    <row r="541" spans="1:20" x14ac:dyDescent="0.25">
      <c r="A541">
        <v>1033228</v>
      </c>
      <c r="B541" t="s">
        <v>2877</v>
      </c>
      <c r="D541" t="s">
        <v>131</v>
      </c>
      <c r="E541" t="s">
        <v>669</v>
      </c>
      <c r="F541">
        <v>2012</v>
      </c>
      <c r="G541" t="s">
        <v>1130</v>
      </c>
      <c r="H541" t="s">
        <v>2878</v>
      </c>
      <c r="I541" t="s">
        <v>2879</v>
      </c>
      <c r="J541" t="s">
        <v>26</v>
      </c>
      <c r="K541" t="s">
        <v>48</v>
      </c>
      <c r="L541" t="b">
        <v>1</v>
      </c>
      <c r="M541" t="s">
        <v>2880</v>
      </c>
      <c r="N541" t="str">
        <f>"842.4"</f>
        <v>842.4</v>
      </c>
      <c r="O541" t="s">
        <v>1314</v>
      </c>
      <c r="P541" t="b">
        <v>1</v>
      </c>
      <c r="R541" t="str">
        <f>"9781840020045"</f>
        <v>9781840020045</v>
      </c>
      <c r="S541" t="str">
        <f>"9781849435871"</f>
        <v>9781849435871</v>
      </c>
      <c r="T541">
        <v>906593209</v>
      </c>
    </row>
    <row r="542" spans="1:20" x14ac:dyDescent="0.25">
      <c r="A542">
        <v>1033218</v>
      </c>
      <c r="B542" t="s">
        <v>2881</v>
      </c>
      <c r="D542" t="s">
        <v>131</v>
      </c>
      <c r="E542" t="s">
        <v>669</v>
      </c>
      <c r="F542">
        <v>2012</v>
      </c>
      <c r="G542" t="s">
        <v>1130</v>
      </c>
      <c r="H542" t="s">
        <v>2882</v>
      </c>
      <c r="I542" t="s">
        <v>2883</v>
      </c>
      <c r="J542" t="s">
        <v>26</v>
      </c>
      <c r="K542" t="s">
        <v>48</v>
      </c>
      <c r="L542" t="b">
        <v>1</v>
      </c>
      <c r="M542" t="s">
        <v>2884</v>
      </c>
      <c r="N542" t="str">
        <f>"891.85273"</f>
        <v>891.85273</v>
      </c>
      <c r="O542" t="s">
        <v>764</v>
      </c>
      <c r="P542" t="b">
        <v>1</v>
      </c>
      <c r="R542" t="str">
        <f>"9781849434645"</f>
        <v>9781849434645</v>
      </c>
      <c r="S542" t="str">
        <f>"9781849437226"</f>
        <v>9781849437226</v>
      </c>
      <c r="T542">
        <v>895715158</v>
      </c>
    </row>
    <row r="543" spans="1:20" x14ac:dyDescent="0.25">
      <c r="A543">
        <v>1033217</v>
      </c>
      <c r="B543" t="s">
        <v>2885</v>
      </c>
      <c r="D543" t="s">
        <v>131</v>
      </c>
      <c r="E543" t="s">
        <v>669</v>
      </c>
      <c r="F543">
        <v>2011</v>
      </c>
      <c r="G543" t="s">
        <v>1130</v>
      </c>
      <c r="H543" t="s">
        <v>2886</v>
      </c>
      <c r="I543" t="s">
        <v>2887</v>
      </c>
      <c r="J543" t="s">
        <v>26</v>
      </c>
      <c r="K543" t="s">
        <v>48</v>
      </c>
      <c r="L543" t="b">
        <v>1</v>
      </c>
      <c r="M543" t="s">
        <v>2888</v>
      </c>
      <c r="N543" t="str">
        <f>"862.3"</f>
        <v>862.3</v>
      </c>
      <c r="O543" t="s">
        <v>912</v>
      </c>
      <c r="P543" t="b">
        <v>1</v>
      </c>
      <c r="R543" t="str">
        <f>"9781849431347"</f>
        <v>9781849431347</v>
      </c>
      <c r="S543" t="str">
        <f>"9781849436946"</f>
        <v>9781849436946</v>
      </c>
      <c r="T543">
        <v>903910686</v>
      </c>
    </row>
    <row r="544" spans="1:20" x14ac:dyDescent="0.25">
      <c r="A544">
        <v>1033204</v>
      </c>
      <c r="B544" t="s">
        <v>2889</v>
      </c>
      <c r="D544" t="s">
        <v>131</v>
      </c>
      <c r="E544" t="s">
        <v>669</v>
      </c>
      <c r="F544">
        <v>2012</v>
      </c>
      <c r="G544" t="s">
        <v>1130</v>
      </c>
      <c r="H544" t="s">
        <v>2890</v>
      </c>
      <c r="I544" t="s">
        <v>2891</v>
      </c>
      <c r="J544" t="s">
        <v>26</v>
      </c>
      <c r="K544" t="s">
        <v>48</v>
      </c>
      <c r="L544" t="b">
        <v>1</v>
      </c>
      <c r="M544" t="s">
        <v>2892</v>
      </c>
      <c r="N544" t="str">
        <f>"822/.914"</f>
        <v>822/.914</v>
      </c>
      <c r="O544" t="s">
        <v>912</v>
      </c>
      <c r="P544" t="b">
        <v>1</v>
      </c>
      <c r="R544" t="str">
        <f>"9781840028539"</f>
        <v>9781840028539</v>
      </c>
      <c r="S544" t="str">
        <f>"9781849431569"</f>
        <v>9781849431569</v>
      </c>
      <c r="T544">
        <v>870601125</v>
      </c>
    </row>
    <row r="545" spans="1:20" x14ac:dyDescent="0.25">
      <c r="A545">
        <v>1033201</v>
      </c>
      <c r="B545" t="s">
        <v>2893</v>
      </c>
      <c r="D545" t="s">
        <v>131</v>
      </c>
      <c r="E545" t="s">
        <v>669</v>
      </c>
      <c r="F545">
        <v>2011</v>
      </c>
      <c r="G545" t="s">
        <v>1130</v>
      </c>
      <c r="H545" t="s">
        <v>2894</v>
      </c>
      <c r="I545" t="s">
        <v>2895</v>
      </c>
      <c r="J545" t="s">
        <v>26</v>
      </c>
      <c r="K545" t="s">
        <v>48</v>
      </c>
      <c r="L545" t="b">
        <v>1</v>
      </c>
      <c r="M545" t="s">
        <v>2896</v>
      </c>
      <c r="N545" t="str">
        <f>"891.72"</f>
        <v>891.72</v>
      </c>
      <c r="O545" t="s">
        <v>912</v>
      </c>
      <c r="P545" t="b">
        <v>1</v>
      </c>
      <c r="R545" t="str">
        <f>"9781849431057"</f>
        <v>9781849431057</v>
      </c>
      <c r="S545" t="str">
        <f>"9781849439275"</f>
        <v>9781849439275</v>
      </c>
      <c r="T545">
        <v>904207551</v>
      </c>
    </row>
    <row r="546" spans="1:20" x14ac:dyDescent="0.25">
      <c r="A546">
        <v>1033199</v>
      </c>
      <c r="B546" t="s">
        <v>2897</v>
      </c>
      <c r="D546" t="s">
        <v>131</v>
      </c>
      <c r="E546" t="s">
        <v>669</v>
      </c>
      <c r="F546">
        <v>2012</v>
      </c>
      <c r="G546" t="s">
        <v>1130</v>
      </c>
      <c r="H546" t="s">
        <v>2898</v>
      </c>
      <c r="I546" t="s">
        <v>2899</v>
      </c>
      <c r="J546" t="s">
        <v>26</v>
      </c>
      <c r="K546" t="s">
        <v>48</v>
      </c>
      <c r="L546" t="b">
        <v>1</v>
      </c>
      <c r="M546" t="s">
        <v>2900</v>
      </c>
      <c r="N546" t="str">
        <f>"822.914"</f>
        <v>822.914</v>
      </c>
      <c r="O546" t="s">
        <v>764</v>
      </c>
      <c r="P546" t="b">
        <v>1</v>
      </c>
      <c r="R546" t="str">
        <f>"9781849431286"</f>
        <v>9781849431286</v>
      </c>
      <c r="S546" t="str">
        <f>"9781849437073"</f>
        <v>9781849437073</v>
      </c>
      <c r="T546">
        <v>895732997</v>
      </c>
    </row>
    <row r="547" spans="1:20" x14ac:dyDescent="0.25">
      <c r="A547">
        <v>1033192</v>
      </c>
      <c r="B547" t="s">
        <v>2901</v>
      </c>
      <c r="D547" t="s">
        <v>131</v>
      </c>
      <c r="E547" t="s">
        <v>669</v>
      </c>
      <c r="F547">
        <v>2012</v>
      </c>
      <c r="G547" t="s">
        <v>1130</v>
      </c>
      <c r="H547" t="s">
        <v>2849</v>
      </c>
      <c r="I547" t="s">
        <v>2902</v>
      </c>
      <c r="J547" t="s">
        <v>26</v>
      </c>
      <c r="K547" t="s">
        <v>48</v>
      </c>
      <c r="L547" t="b">
        <v>1</v>
      </c>
      <c r="M547" t="s">
        <v>2850</v>
      </c>
      <c r="N547" t="str">
        <f>"828.92"</f>
        <v>828.92</v>
      </c>
      <c r="P547" t="b">
        <v>1</v>
      </c>
      <c r="R547" t="str">
        <f>"9781849431361"</f>
        <v>9781849431361</v>
      </c>
      <c r="S547" t="str">
        <f>"9781849435772"</f>
        <v>9781849435772</v>
      </c>
      <c r="T547">
        <v>870601158</v>
      </c>
    </row>
    <row r="548" spans="1:20" x14ac:dyDescent="0.25">
      <c r="A548">
        <v>1033187</v>
      </c>
      <c r="B548" t="s">
        <v>2903</v>
      </c>
      <c r="C548" t="s">
        <v>2904</v>
      </c>
      <c r="D548" t="s">
        <v>131</v>
      </c>
      <c r="E548" t="s">
        <v>669</v>
      </c>
      <c r="F548">
        <v>2012</v>
      </c>
      <c r="G548" t="s">
        <v>1130</v>
      </c>
      <c r="H548" t="s">
        <v>2905</v>
      </c>
      <c r="I548" t="s">
        <v>2906</v>
      </c>
      <c r="J548" t="s">
        <v>26</v>
      </c>
      <c r="K548" t="s">
        <v>48</v>
      </c>
      <c r="L548" t="b">
        <v>1</v>
      </c>
      <c r="M548" t="s">
        <v>2907</v>
      </c>
      <c r="N548" t="str">
        <f>"822.914"</f>
        <v>822.914</v>
      </c>
      <c r="P548" t="b">
        <v>1</v>
      </c>
      <c r="R548" t="str">
        <f>"9781849431330"</f>
        <v>9781849431330</v>
      </c>
      <c r="S548" t="str">
        <f>"9781849436083"</f>
        <v>9781849436083</v>
      </c>
      <c r="T548">
        <v>870601184</v>
      </c>
    </row>
    <row r="549" spans="1:20" x14ac:dyDescent="0.25">
      <c r="A549">
        <v>1032851</v>
      </c>
      <c r="B549" t="s">
        <v>2908</v>
      </c>
      <c r="D549" t="s">
        <v>131</v>
      </c>
      <c r="E549" t="s">
        <v>1885</v>
      </c>
      <c r="F549">
        <v>2015</v>
      </c>
      <c r="G549" t="s">
        <v>2909</v>
      </c>
      <c r="H549" t="s">
        <v>2910</v>
      </c>
      <c r="I549" t="s">
        <v>2911</v>
      </c>
      <c r="J549" t="s">
        <v>26</v>
      </c>
      <c r="K549" t="s">
        <v>86</v>
      </c>
      <c r="L549" t="b">
        <v>1</v>
      </c>
      <c r="M549" t="s">
        <v>2912</v>
      </c>
      <c r="N549" t="str">
        <f>"363.8"</f>
        <v>363.8</v>
      </c>
      <c r="P549" t="b">
        <v>0</v>
      </c>
      <c r="Q549" t="b">
        <v>0</v>
      </c>
      <c r="R549" t="str">
        <f>"9781578594849"</f>
        <v>9781578594849</v>
      </c>
      <c r="S549" t="str">
        <f>"9781578595525"</f>
        <v>9781578595525</v>
      </c>
      <c r="T549">
        <v>927585653</v>
      </c>
    </row>
    <row r="550" spans="1:20" x14ac:dyDescent="0.25">
      <c r="A550">
        <v>1032669</v>
      </c>
      <c r="B550" t="s">
        <v>2913</v>
      </c>
      <c r="D550" t="s">
        <v>131</v>
      </c>
      <c r="E550" t="s">
        <v>1878</v>
      </c>
      <c r="F550">
        <v>2015</v>
      </c>
      <c r="G550" t="s">
        <v>2914</v>
      </c>
      <c r="H550" t="s">
        <v>2915</v>
      </c>
      <c r="I550" t="s">
        <v>2916</v>
      </c>
      <c r="J550" t="s">
        <v>26</v>
      </c>
      <c r="K550" t="s">
        <v>86</v>
      </c>
      <c r="L550" t="b">
        <v>1</v>
      </c>
      <c r="M550" t="s">
        <v>2917</v>
      </c>
      <c r="N550" t="str">
        <f>"863/.64"</f>
        <v>863/.64</v>
      </c>
      <c r="P550" t="b">
        <v>1</v>
      </c>
      <c r="Q550" t="b">
        <v>0</v>
      </c>
      <c r="R550" t="str">
        <f>"9781941920183"</f>
        <v>9781941920183</v>
      </c>
      <c r="S550" t="str">
        <f>"9781941920190"</f>
        <v>9781941920190</v>
      </c>
      <c r="T550">
        <v>920466447</v>
      </c>
    </row>
    <row r="551" spans="1:20" x14ac:dyDescent="0.25">
      <c r="A551">
        <v>1032556</v>
      </c>
      <c r="B551" t="s">
        <v>2918</v>
      </c>
      <c r="C551" t="s">
        <v>2919</v>
      </c>
      <c r="D551" t="s">
        <v>131</v>
      </c>
      <c r="E551" t="s">
        <v>276</v>
      </c>
      <c r="F551">
        <v>2015</v>
      </c>
      <c r="G551" t="s">
        <v>283</v>
      </c>
      <c r="H551" t="s">
        <v>2920</v>
      </c>
      <c r="I551" t="s">
        <v>2921</v>
      </c>
      <c r="J551" t="s">
        <v>26</v>
      </c>
      <c r="K551" t="s">
        <v>86</v>
      </c>
      <c r="L551" t="b">
        <v>1</v>
      </c>
      <c r="M551" t="s">
        <v>2922</v>
      </c>
      <c r="N551" t="str">
        <f>"818/.6"</f>
        <v>818/.6</v>
      </c>
      <c r="P551" t="b">
        <v>0</v>
      </c>
      <c r="Q551" t="b">
        <v>0</v>
      </c>
      <c r="R551" t="str">
        <f>"9781595342614"</f>
        <v>9781595342614</v>
      </c>
      <c r="S551" t="str">
        <f>"9781595342621"</f>
        <v>9781595342621</v>
      </c>
      <c r="T551">
        <v>912230902</v>
      </c>
    </row>
    <row r="552" spans="1:20" x14ac:dyDescent="0.25">
      <c r="A552">
        <v>1032346</v>
      </c>
      <c r="B552" t="s">
        <v>2923</v>
      </c>
      <c r="C552" t="s">
        <v>2924</v>
      </c>
      <c r="D552" t="s">
        <v>123</v>
      </c>
      <c r="E552" t="s">
        <v>124</v>
      </c>
      <c r="F552">
        <v>2015</v>
      </c>
      <c r="G552" t="s">
        <v>2925</v>
      </c>
      <c r="H552" t="s">
        <v>2926</v>
      </c>
      <c r="I552" t="s">
        <v>2927</v>
      </c>
      <c r="J552" t="s">
        <v>26</v>
      </c>
      <c r="K552" t="s">
        <v>48</v>
      </c>
      <c r="L552" t="b">
        <v>1</v>
      </c>
      <c r="M552" t="s">
        <v>2928</v>
      </c>
      <c r="N552" t="str">
        <f>"623.7469"</f>
        <v>623.7469</v>
      </c>
      <c r="P552" t="b">
        <v>0</v>
      </c>
      <c r="Q552" t="b">
        <v>0</v>
      </c>
      <c r="R552" t="str">
        <f>"9781632205056"</f>
        <v>9781632205056</v>
      </c>
      <c r="S552" t="str">
        <f>"9781632208743"</f>
        <v>9781632208743</v>
      </c>
      <c r="T552">
        <v>912230966</v>
      </c>
    </row>
    <row r="553" spans="1:20" x14ac:dyDescent="0.25">
      <c r="A553">
        <v>1032272</v>
      </c>
      <c r="B553" t="s">
        <v>2929</v>
      </c>
      <c r="C553" t="s">
        <v>2930</v>
      </c>
      <c r="D553" t="s">
        <v>123</v>
      </c>
      <c r="E553" t="s">
        <v>1720</v>
      </c>
      <c r="F553">
        <v>2015</v>
      </c>
      <c r="G553" t="s">
        <v>2931</v>
      </c>
      <c r="H553" t="s">
        <v>2932</v>
      </c>
      <c r="I553" t="s">
        <v>2933</v>
      </c>
      <c r="J553" t="s">
        <v>26</v>
      </c>
      <c r="K553" t="s">
        <v>48</v>
      </c>
      <c r="L553" t="b">
        <v>1</v>
      </c>
      <c r="M553" t="s">
        <v>2934</v>
      </c>
      <c r="N553" t="str">
        <f>"355.8/25119092273"</f>
        <v>355.8/25119092273</v>
      </c>
      <c r="P553" t="b">
        <v>0</v>
      </c>
      <c r="Q553" t="b">
        <v>0</v>
      </c>
      <c r="R553" t="str">
        <f>"9781621573388"</f>
        <v>9781621573388</v>
      </c>
      <c r="S553" t="str">
        <f>"9781621573852"</f>
        <v>9781621573852</v>
      </c>
      <c r="T553">
        <v>944960858</v>
      </c>
    </row>
    <row r="554" spans="1:20" x14ac:dyDescent="0.25">
      <c r="A554">
        <v>1030129</v>
      </c>
      <c r="B554" t="s">
        <v>2935</v>
      </c>
      <c r="C554" t="s">
        <v>2936</v>
      </c>
      <c r="D554" t="s">
        <v>123</v>
      </c>
      <c r="E554" t="s">
        <v>219</v>
      </c>
      <c r="F554">
        <v>2015</v>
      </c>
      <c r="G554" t="s">
        <v>2937</v>
      </c>
      <c r="H554" t="s">
        <v>2938</v>
      </c>
      <c r="I554" t="s">
        <v>2939</v>
      </c>
      <c r="J554" t="s">
        <v>26</v>
      </c>
      <c r="K554" t="s">
        <v>48</v>
      </c>
      <c r="L554" t="b">
        <v>1</v>
      </c>
      <c r="M554" t="s">
        <v>2940</v>
      </c>
      <c r="N554" t="str">
        <f>"294.3/42042"</f>
        <v>294.3/42042</v>
      </c>
      <c r="P554" t="b">
        <v>0</v>
      </c>
      <c r="Q554" t="b">
        <v>0</v>
      </c>
      <c r="R554" t="str">
        <f>"9781614291961"</f>
        <v>9781614291961</v>
      </c>
      <c r="S554" t="str">
        <f>"9781614292135"</f>
        <v>9781614292135</v>
      </c>
      <c r="T554">
        <v>914166208</v>
      </c>
    </row>
    <row r="555" spans="1:20" x14ac:dyDescent="0.25">
      <c r="A555">
        <v>1028935</v>
      </c>
      <c r="B555" t="s">
        <v>2941</v>
      </c>
      <c r="C555" t="s">
        <v>2942</v>
      </c>
      <c r="D555" t="s">
        <v>233</v>
      </c>
      <c r="E555" t="s">
        <v>234</v>
      </c>
      <c r="F555">
        <v>2016</v>
      </c>
      <c r="G555" t="s">
        <v>2943</v>
      </c>
      <c r="H555" t="s">
        <v>2944</v>
      </c>
      <c r="I555" t="s">
        <v>2945</v>
      </c>
      <c r="J555" t="s">
        <v>26</v>
      </c>
      <c r="K555" t="s">
        <v>86</v>
      </c>
      <c r="L555" t="b">
        <v>1</v>
      </c>
      <c r="M555" t="s">
        <v>2946</v>
      </c>
      <c r="N555" t="str">
        <f>"909/.097492708312"</f>
        <v>909/.097492708312</v>
      </c>
      <c r="P555" t="b">
        <v>0</v>
      </c>
      <c r="Q555" t="b">
        <v>0</v>
      </c>
      <c r="S555" t="str">
        <f>"9780815727194"</f>
        <v>9780815727194</v>
      </c>
      <c r="T555">
        <v>929864212</v>
      </c>
    </row>
    <row r="556" spans="1:20" x14ac:dyDescent="0.25">
      <c r="A556">
        <v>1028394</v>
      </c>
      <c r="B556" t="s">
        <v>2947</v>
      </c>
      <c r="C556" t="s">
        <v>2948</v>
      </c>
      <c r="D556" t="s">
        <v>226</v>
      </c>
      <c r="E556" t="s">
        <v>226</v>
      </c>
      <c r="F556">
        <v>2004</v>
      </c>
      <c r="G556" t="s">
        <v>2949</v>
      </c>
      <c r="H556" t="s">
        <v>2950</v>
      </c>
      <c r="I556" t="s">
        <v>2951</v>
      </c>
      <c r="J556" t="s">
        <v>26</v>
      </c>
      <c r="K556" t="s">
        <v>27</v>
      </c>
      <c r="L556" t="b">
        <v>1</v>
      </c>
      <c r="M556" t="s">
        <v>2952</v>
      </c>
      <c r="N556" t="str">
        <f>"509/.4/0903"</f>
        <v>509/.4/0903</v>
      </c>
      <c r="O556" t="s">
        <v>2953</v>
      </c>
      <c r="P556" t="b">
        <v>0</v>
      </c>
      <c r="Q556" t="b">
        <v>0</v>
      </c>
      <c r="R556" t="str">
        <f>"9780226763996"</f>
        <v>9780226763996</v>
      </c>
      <c r="S556" t="str">
        <f>"9780226764269"</f>
        <v>9780226764269</v>
      </c>
      <c r="T556">
        <v>733997234</v>
      </c>
    </row>
    <row r="557" spans="1:20" x14ac:dyDescent="0.25">
      <c r="A557">
        <v>1026774</v>
      </c>
      <c r="B557" t="s">
        <v>2954</v>
      </c>
      <c r="C557" t="s">
        <v>2955</v>
      </c>
      <c r="D557" t="s">
        <v>487</v>
      </c>
      <c r="E557" t="s">
        <v>488</v>
      </c>
      <c r="F557">
        <v>2018</v>
      </c>
      <c r="G557" t="s">
        <v>501</v>
      </c>
      <c r="H557" t="s">
        <v>2956</v>
      </c>
      <c r="J557" t="s">
        <v>26</v>
      </c>
      <c r="K557" t="s">
        <v>27</v>
      </c>
      <c r="L557" t="b">
        <v>1</v>
      </c>
      <c r="M557" t="s">
        <v>2957</v>
      </c>
      <c r="N557" t="str">
        <f>"861.1"</f>
        <v>861.1</v>
      </c>
      <c r="O557" t="s">
        <v>2958</v>
      </c>
      <c r="P557" t="b">
        <v>0</v>
      </c>
      <c r="Q557" t="b">
        <v>0</v>
      </c>
      <c r="R557" t="str">
        <f>"9781781880234"</f>
        <v>9781781880234</v>
      </c>
      <c r="S557" t="str">
        <f>"9781781882375"</f>
        <v>9781781882375</v>
      </c>
      <c r="T557">
        <v>1076784080</v>
      </c>
    </row>
    <row r="558" spans="1:20" x14ac:dyDescent="0.25">
      <c r="A558">
        <v>1026479</v>
      </c>
      <c r="B558" t="s">
        <v>2959</v>
      </c>
      <c r="D558" t="s">
        <v>131</v>
      </c>
      <c r="E558" t="s">
        <v>669</v>
      </c>
      <c r="F558">
        <v>2012</v>
      </c>
      <c r="G558" t="s">
        <v>1130</v>
      </c>
      <c r="H558" t="s">
        <v>2960</v>
      </c>
      <c r="I558" t="s">
        <v>2961</v>
      </c>
      <c r="J558" t="s">
        <v>26</v>
      </c>
      <c r="K558" t="s">
        <v>48</v>
      </c>
      <c r="L558" t="b">
        <v>1</v>
      </c>
      <c r="M558" t="s">
        <v>2892</v>
      </c>
      <c r="N558" t="str">
        <f>"822/.914"</f>
        <v>822/.914</v>
      </c>
      <c r="O558" t="s">
        <v>912</v>
      </c>
      <c r="P558" t="b">
        <v>1</v>
      </c>
      <c r="R558" t="str">
        <f>"9781840025941"</f>
        <v>9781840025941</v>
      </c>
      <c r="S558" t="str">
        <f>"9781849432511"</f>
        <v>9781849432511</v>
      </c>
      <c r="T558">
        <v>870601157</v>
      </c>
    </row>
    <row r="559" spans="1:20" x14ac:dyDescent="0.25">
      <c r="A559">
        <v>1026476</v>
      </c>
      <c r="B559" t="s">
        <v>2962</v>
      </c>
      <c r="D559" t="s">
        <v>131</v>
      </c>
      <c r="E559" t="s">
        <v>669</v>
      </c>
      <c r="F559">
        <v>2013</v>
      </c>
      <c r="G559" t="s">
        <v>1130</v>
      </c>
      <c r="H559" t="s">
        <v>2963</v>
      </c>
      <c r="I559" t="s">
        <v>2964</v>
      </c>
      <c r="J559" t="s">
        <v>26</v>
      </c>
      <c r="K559" t="s">
        <v>48</v>
      </c>
      <c r="L559" t="b">
        <v>1</v>
      </c>
      <c r="M559" t="s">
        <v>2965</v>
      </c>
      <c r="N559" t="str">
        <f>"398.2"</f>
        <v>398.2</v>
      </c>
      <c r="P559" t="b">
        <v>1</v>
      </c>
      <c r="R559" t="str">
        <f>"9781840026542"</f>
        <v>9781840026542</v>
      </c>
      <c r="S559" t="str">
        <f>"9781783193660"</f>
        <v>9781783193660</v>
      </c>
      <c r="T559">
        <v>870601050</v>
      </c>
    </row>
    <row r="560" spans="1:20" x14ac:dyDescent="0.25">
      <c r="A560">
        <v>1026473</v>
      </c>
      <c r="B560" t="s">
        <v>2966</v>
      </c>
      <c r="D560" t="s">
        <v>131</v>
      </c>
      <c r="E560" t="s">
        <v>669</v>
      </c>
      <c r="F560">
        <v>2012</v>
      </c>
      <c r="G560" t="s">
        <v>1130</v>
      </c>
      <c r="H560" t="s">
        <v>2967</v>
      </c>
      <c r="I560" t="s">
        <v>2968</v>
      </c>
      <c r="J560" t="s">
        <v>26</v>
      </c>
      <c r="K560" t="s">
        <v>48</v>
      </c>
      <c r="L560" t="b">
        <v>1</v>
      </c>
      <c r="M560" t="s">
        <v>2969</v>
      </c>
      <c r="N560" t="str">
        <f>"839.82374"</f>
        <v>839.82374</v>
      </c>
      <c r="O560" t="s">
        <v>912</v>
      </c>
      <c r="P560" t="b">
        <v>1</v>
      </c>
      <c r="R560" t="str">
        <f>"9781849430715"</f>
        <v>9781849430715</v>
      </c>
      <c r="S560" t="str">
        <f>"9781849436090"</f>
        <v>9781849436090</v>
      </c>
      <c r="T560">
        <v>974254231</v>
      </c>
    </row>
    <row r="561" spans="1:20" x14ac:dyDescent="0.25">
      <c r="A561">
        <v>1026472</v>
      </c>
      <c r="B561" t="s">
        <v>2970</v>
      </c>
      <c r="D561" t="s">
        <v>131</v>
      </c>
      <c r="E561" t="s">
        <v>669</v>
      </c>
      <c r="F561">
        <v>2013</v>
      </c>
      <c r="G561" t="s">
        <v>1130</v>
      </c>
      <c r="H561" t="s">
        <v>2971</v>
      </c>
      <c r="I561" t="s">
        <v>2972</v>
      </c>
      <c r="J561" t="s">
        <v>26</v>
      </c>
      <c r="K561" t="s">
        <v>48</v>
      </c>
      <c r="L561" t="b">
        <v>1</v>
      </c>
      <c r="M561" t="s">
        <v>2973</v>
      </c>
      <c r="N561" t="str">
        <f>"852/.92"</f>
        <v>852/.92</v>
      </c>
      <c r="P561" t="b">
        <v>1</v>
      </c>
      <c r="R561" t="str">
        <f>"9781849434102"</f>
        <v>9781849434102</v>
      </c>
      <c r="S561" t="str">
        <f>"9781849437141"</f>
        <v>9781849437141</v>
      </c>
      <c r="T561">
        <v>895733000</v>
      </c>
    </row>
    <row r="562" spans="1:20" x14ac:dyDescent="0.25">
      <c r="A562">
        <v>1026465</v>
      </c>
      <c r="B562" t="s">
        <v>2974</v>
      </c>
      <c r="D562" t="s">
        <v>131</v>
      </c>
      <c r="E562" t="s">
        <v>669</v>
      </c>
      <c r="F562">
        <v>2012</v>
      </c>
      <c r="G562" t="s">
        <v>1130</v>
      </c>
      <c r="H562" t="s">
        <v>2975</v>
      </c>
      <c r="I562" t="s">
        <v>2976</v>
      </c>
      <c r="J562" t="s">
        <v>26</v>
      </c>
      <c r="K562" t="s">
        <v>48</v>
      </c>
      <c r="L562" t="b">
        <v>1</v>
      </c>
      <c r="M562" t="s">
        <v>2977</v>
      </c>
      <c r="N562" t="str">
        <f>"822/.914"</f>
        <v>822/.914</v>
      </c>
      <c r="P562" t="b">
        <v>1</v>
      </c>
      <c r="R562" t="str">
        <f>"9781849431668"</f>
        <v>9781849431668</v>
      </c>
      <c r="S562" t="str">
        <f>"9781849435536"</f>
        <v>9781849435536</v>
      </c>
      <c r="T562">
        <v>818862278</v>
      </c>
    </row>
    <row r="563" spans="1:20" x14ac:dyDescent="0.25">
      <c r="A563">
        <v>1026459</v>
      </c>
      <c r="B563" t="s">
        <v>2978</v>
      </c>
      <c r="D563" t="s">
        <v>131</v>
      </c>
      <c r="E563" t="s">
        <v>669</v>
      </c>
      <c r="F563">
        <v>2012</v>
      </c>
      <c r="G563" t="s">
        <v>1130</v>
      </c>
      <c r="H563" t="s">
        <v>2979</v>
      </c>
      <c r="I563" t="s">
        <v>2980</v>
      </c>
      <c r="J563" t="s">
        <v>26</v>
      </c>
      <c r="K563" t="s">
        <v>48</v>
      </c>
      <c r="L563" t="b">
        <v>1</v>
      </c>
      <c r="M563" t="s">
        <v>2981</v>
      </c>
      <c r="N563" t="str">
        <f>"822.914"</f>
        <v>822.914</v>
      </c>
      <c r="O563" t="s">
        <v>912</v>
      </c>
      <c r="P563" t="b">
        <v>1</v>
      </c>
      <c r="R563" t="str">
        <f>"9781849434829"</f>
        <v>9781849434829</v>
      </c>
      <c r="S563" t="str">
        <f>"9781849436106"</f>
        <v>9781849436106</v>
      </c>
      <c r="T563">
        <v>903603548</v>
      </c>
    </row>
    <row r="564" spans="1:20" x14ac:dyDescent="0.25">
      <c r="A564">
        <v>1026458</v>
      </c>
      <c r="B564" t="s">
        <v>2982</v>
      </c>
      <c r="D564" t="s">
        <v>131</v>
      </c>
      <c r="E564" t="s">
        <v>669</v>
      </c>
      <c r="F564">
        <v>2012</v>
      </c>
      <c r="G564" t="s">
        <v>1130</v>
      </c>
      <c r="H564" t="s">
        <v>2983</v>
      </c>
      <c r="I564" t="s">
        <v>2984</v>
      </c>
      <c r="J564" t="s">
        <v>26</v>
      </c>
      <c r="K564" t="s">
        <v>48</v>
      </c>
      <c r="L564" t="b">
        <v>1</v>
      </c>
      <c r="M564" t="s">
        <v>2985</v>
      </c>
      <c r="N564" t="str">
        <f>"822.914"</f>
        <v>822.914</v>
      </c>
      <c r="P564" t="b">
        <v>1</v>
      </c>
      <c r="R564" t="str">
        <f>"9781840028126"</f>
        <v>9781840028126</v>
      </c>
      <c r="S564" t="str">
        <f>"9781849437875"</f>
        <v>9781849437875</v>
      </c>
      <c r="T564">
        <v>870601142</v>
      </c>
    </row>
    <row r="565" spans="1:20" x14ac:dyDescent="0.25">
      <c r="A565">
        <v>1026457</v>
      </c>
      <c r="B565" t="s">
        <v>2986</v>
      </c>
      <c r="D565" t="s">
        <v>131</v>
      </c>
      <c r="E565" t="s">
        <v>669</v>
      </c>
      <c r="F565">
        <v>2007</v>
      </c>
      <c r="G565" t="s">
        <v>1130</v>
      </c>
      <c r="H565" t="s">
        <v>2987</v>
      </c>
      <c r="I565" t="s">
        <v>2899</v>
      </c>
      <c r="J565" t="s">
        <v>26</v>
      </c>
      <c r="K565" t="s">
        <v>48</v>
      </c>
      <c r="L565" t="b">
        <v>1</v>
      </c>
      <c r="M565" t="s">
        <v>2988</v>
      </c>
      <c r="N565" t="str">
        <f>"822.914"</f>
        <v>822.914</v>
      </c>
      <c r="O565" t="s">
        <v>764</v>
      </c>
      <c r="P565" t="b">
        <v>1</v>
      </c>
      <c r="R565" t="str">
        <f>"9781840027730"</f>
        <v>9781840027730</v>
      </c>
      <c r="S565" t="str">
        <f>"9781849437622"</f>
        <v>9781849437622</v>
      </c>
      <c r="T565">
        <v>608467583</v>
      </c>
    </row>
    <row r="566" spans="1:20" x14ac:dyDescent="0.25">
      <c r="A566">
        <v>1026454</v>
      </c>
      <c r="B566" t="s">
        <v>2989</v>
      </c>
      <c r="D566" t="s">
        <v>131</v>
      </c>
      <c r="E566" t="s">
        <v>669</v>
      </c>
      <c r="F566">
        <v>2012</v>
      </c>
      <c r="G566" t="s">
        <v>1130</v>
      </c>
      <c r="H566" t="s">
        <v>2990</v>
      </c>
      <c r="I566" t="s">
        <v>2991</v>
      </c>
      <c r="J566" t="s">
        <v>26</v>
      </c>
      <c r="K566" t="s">
        <v>48</v>
      </c>
      <c r="L566" t="b">
        <v>1</v>
      </c>
      <c r="M566" t="s">
        <v>2821</v>
      </c>
      <c r="N566" t="str">
        <f>"823.92"</f>
        <v>823.92</v>
      </c>
      <c r="O566" t="s">
        <v>912</v>
      </c>
      <c r="P566" t="b">
        <v>1</v>
      </c>
      <c r="R566" t="str">
        <f>"9781840027129"</f>
        <v>9781840027129</v>
      </c>
      <c r="S566" t="str">
        <f>"9781849435703"</f>
        <v>9781849435703</v>
      </c>
      <c r="T566">
        <v>870601215</v>
      </c>
    </row>
    <row r="567" spans="1:20" x14ac:dyDescent="0.25">
      <c r="A567">
        <v>1026450</v>
      </c>
      <c r="B567" t="s">
        <v>2992</v>
      </c>
      <c r="D567" t="s">
        <v>131</v>
      </c>
      <c r="E567" t="s">
        <v>669</v>
      </c>
      <c r="F567">
        <v>2012</v>
      </c>
      <c r="G567" t="s">
        <v>1130</v>
      </c>
      <c r="H567" t="s">
        <v>2993</v>
      </c>
      <c r="I567" t="s">
        <v>2994</v>
      </c>
      <c r="J567" t="s">
        <v>26</v>
      </c>
      <c r="K567" t="s">
        <v>48</v>
      </c>
      <c r="L567" t="b">
        <v>1</v>
      </c>
      <c r="M567" t="s">
        <v>2995</v>
      </c>
      <c r="N567" t="str">
        <f>"822.92"</f>
        <v>822.92</v>
      </c>
      <c r="P567" t="b">
        <v>1</v>
      </c>
      <c r="R567" t="str">
        <f>"9781849430142"</f>
        <v>9781849430142</v>
      </c>
      <c r="S567" t="str">
        <f>"9781849435949"</f>
        <v>9781849435949</v>
      </c>
      <c r="T567">
        <v>870600989</v>
      </c>
    </row>
    <row r="568" spans="1:20" x14ac:dyDescent="0.25">
      <c r="A568">
        <v>1026448</v>
      </c>
      <c r="B568" t="s">
        <v>2996</v>
      </c>
      <c r="D568" t="s">
        <v>131</v>
      </c>
      <c r="E568" t="s">
        <v>669</v>
      </c>
      <c r="F568">
        <v>2012</v>
      </c>
      <c r="G568" t="s">
        <v>2240</v>
      </c>
      <c r="H568" t="s">
        <v>2997</v>
      </c>
      <c r="I568" t="s">
        <v>2998</v>
      </c>
      <c r="J568" t="s">
        <v>26</v>
      </c>
      <c r="K568" t="s">
        <v>48</v>
      </c>
      <c r="L568" t="b">
        <v>1</v>
      </c>
      <c r="M568" t="s">
        <v>2999</v>
      </c>
      <c r="N568" t="str">
        <f>"820.900914"</f>
        <v>820.900914</v>
      </c>
      <c r="O568" t="s">
        <v>3000</v>
      </c>
      <c r="P568" t="b">
        <v>0</v>
      </c>
      <c r="R568" t="str">
        <f>"9781849430470"</f>
        <v>9781849430470</v>
      </c>
      <c r="S568" t="str">
        <f>"9781849433594"</f>
        <v>9781849433594</v>
      </c>
      <c r="T568">
        <v>904207944</v>
      </c>
    </row>
    <row r="569" spans="1:20" x14ac:dyDescent="0.25">
      <c r="A569">
        <v>1026447</v>
      </c>
      <c r="B569" t="s">
        <v>3001</v>
      </c>
      <c r="D569" t="s">
        <v>131</v>
      </c>
      <c r="E569" t="s">
        <v>669</v>
      </c>
      <c r="F569">
        <v>2007</v>
      </c>
      <c r="G569" t="s">
        <v>1130</v>
      </c>
      <c r="H569" t="s">
        <v>2987</v>
      </c>
      <c r="I569" t="s">
        <v>2899</v>
      </c>
      <c r="J569" t="s">
        <v>26</v>
      </c>
      <c r="K569" t="s">
        <v>48</v>
      </c>
      <c r="L569" t="b">
        <v>1</v>
      </c>
      <c r="M569" t="s">
        <v>2988</v>
      </c>
      <c r="N569" t="str">
        <f>"820.8009"</f>
        <v>820.8009</v>
      </c>
      <c r="O569" t="s">
        <v>764</v>
      </c>
      <c r="P569" t="b">
        <v>1</v>
      </c>
      <c r="R569" t="str">
        <f>"9781840027723"</f>
        <v>9781840027723</v>
      </c>
      <c r="S569" t="str">
        <f>"9781849437462"</f>
        <v>9781849437462</v>
      </c>
      <c r="T569">
        <v>608467589</v>
      </c>
    </row>
    <row r="570" spans="1:20" x14ac:dyDescent="0.25">
      <c r="A570">
        <v>1026446</v>
      </c>
      <c r="B570" t="s">
        <v>3002</v>
      </c>
      <c r="D570" t="s">
        <v>131</v>
      </c>
      <c r="E570" t="s">
        <v>669</v>
      </c>
      <c r="F570">
        <v>2012</v>
      </c>
      <c r="G570" t="s">
        <v>1130</v>
      </c>
      <c r="H570" t="s">
        <v>3003</v>
      </c>
      <c r="I570" t="s">
        <v>3004</v>
      </c>
      <c r="J570" t="s">
        <v>26</v>
      </c>
      <c r="K570" t="s">
        <v>48</v>
      </c>
      <c r="L570" t="b">
        <v>1</v>
      </c>
      <c r="M570" t="s">
        <v>3005</v>
      </c>
      <c r="N570" t="str">
        <f>"822.92"</f>
        <v>822.92</v>
      </c>
      <c r="O570" t="s">
        <v>2855</v>
      </c>
      <c r="P570" t="b">
        <v>1</v>
      </c>
      <c r="R570" t="str">
        <f>"9781849432061"</f>
        <v>9781849432061</v>
      </c>
      <c r="S570" t="str">
        <f>"9781849433228"</f>
        <v>9781849433228</v>
      </c>
      <c r="T570">
        <v>841413234</v>
      </c>
    </row>
    <row r="571" spans="1:20" x14ac:dyDescent="0.25">
      <c r="A571">
        <v>1026445</v>
      </c>
      <c r="B571" t="s">
        <v>3006</v>
      </c>
      <c r="D571" t="s">
        <v>131</v>
      </c>
      <c r="E571" t="s">
        <v>669</v>
      </c>
      <c r="F571">
        <v>2012</v>
      </c>
      <c r="G571" t="s">
        <v>1130</v>
      </c>
      <c r="H571" t="s">
        <v>3007</v>
      </c>
      <c r="I571" t="s">
        <v>3008</v>
      </c>
      <c r="J571" t="s">
        <v>26</v>
      </c>
      <c r="K571" t="s">
        <v>48</v>
      </c>
      <c r="L571" t="b">
        <v>1</v>
      </c>
      <c r="M571" t="s">
        <v>3009</v>
      </c>
      <c r="N571" t="str">
        <f>"822.92"</f>
        <v>822.92</v>
      </c>
      <c r="O571" t="s">
        <v>912</v>
      </c>
      <c r="P571" t="b">
        <v>1</v>
      </c>
      <c r="R571" t="str">
        <f>"9781849431378"</f>
        <v>9781849431378</v>
      </c>
      <c r="S571" t="str">
        <f>"9781849433211"</f>
        <v>9781849433211</v>
      </c>
      <c r="T571">
        <v>903055418</v>
      </c>
    </row>
    <row r="572" spans="1:20" x14ac:dyDescent="0.25">
      <c r="A572">
        <v>1026441</v>
      </c>
      <c r="B572" t="s">
        <v>3010</v>
      </c>
      <c r="D572" t="s">
        <v>131</v>
      </c>
      <c r="E572" t="s">
        <v>669</v>
      </c>
      <c r="F572">
        <v>1997</v>
      </c>
      <c r="G572" t="s">
        <v>1130</v>
      </c>
      <c r="H572" t="s">
        <v>3011</v>
      </c>
      <c r="I572" t="s">
        <v>2899</v>
      </c>
      <c r="J572" t="s">
        <v>26</v>
      </c>
      <c r="K572" t="s">
        <v>48</v>
      </c>
      <c r="L572" t="b">
        <v>1</v>
      </c>
      <c r="M572" t="s">
        <v>3012</v>
      </c>
      <c r="N572" t="str">
        <f>"822.914"</f>
        <v>822.914</v>
      </c>
      <c r="O572" t="s">
        <v>3013</v>
      </c>
      <c r="P572" t="b">
        <v>1</v>
      </c>
      <c r="R572" t="str">
        <f>"9781870259903"</f>
        <v>9781870259903</v>
      </c>
      <c r="S572" t="str">
        <f>"9781849438377"</f>
        <v>9781849438377</v>
      </c>
      <c r="T572">
        <v>645902098</v>
      </c>
    </row>
    <row r="573" spans="1:20" x14ac:dyDescent="0.25">
      <c r="A573">
        <v>1026440</v>
      </c>
      <c r="B573" t="s">
        <v>3014</v>
      </c>
      <c r="D573" t="s">
        <v>131</v>
      </c>
      <c r="E573" t="s">
        <v>669</v>
      </c>
      <c r="F573">
        <v>2012</v>
      </c>
      <c r="G573" t="s">
        <v>1130</v>
      </c>
      <c r="H573" t="s">
        <v>3015</v>
      </c>
      <c r="I573" t="s">
        <v>3016</v>
      </c>
      <c r="J573" t="s">
        <v>26</v>
      </c>
      <c r="K573" t="s">
        <v>48</v>
      </c>
      <c r="L573" t="b">
        <v>1</v>
      </c>
      <c r="M573" t="s">
        <v>3017</v>
      </c>
      <c r="N573" t="str">
        <f>"822.92"</f>
        <v>822.92</v>
      </c>
      <c r="O573" t="s">
        <v>912</v>
      </c>
      <c r="P573" t="b">
        <v>1</v>
      </c>
      <c r="R573" t="str">
        <f>"9781849432221"</f>
        <v>9781849432221</v>
      </c>
      <c r="S573" t="str">
        <f>"9781849435369"</f>
        <v>9781849435369</v>
      </c>
      <c r="T573">
        <v>903552539</v>
      </c>
    </row>
    <row r="574" spans="1:20" x14ac:dyDescent="0.25">
      <c r="A574">
        <v>1026438</v>
      </c>
      <c r="B574" t="s">
        <v>3018</v>
      </c>
      <c r="D574" t="s">
        <v>131</v>
      </c>
      <c r="E574" t="s">
        <v>669</v>
      </c>
      <c r="F574">
        <v>2004</v>
      </c>
      <c r="G574" t="s">
        <v>1130</v>
      </c>
      <c r="H574" t="s">
        <v>3019</v>
      </c>
      <c r="I574" t="s">
        <v>3020</v>
      </c>
      <c r="J574" t="s">
        <v>26</v>
      </c>
      <c r="K574" t="s">
        <v>48</v>
      </c>
      <c r="L574" t="b">
        <v>1</v>
      </c>
      <c r="M574" t="s">
        <v>3021</v>
      </c>
      <c r="N574" t="str">
        <f>"822.92"</f>
        <v>822.92</v>
      </c>
      <c r="O574" t="s">
        <v>912</v>
      </c>
      <c r="P574" t="b">
        <v>1</v>
      </c>
      <c r="R574" t="str">
        <f>"9781840025224"</f>
        <v>9781840025224</v>
      </c>
      <c r="S574" t="str">
        <f>"9781849435321"</f>
        <v>9781849435321</v>
      </c>
      <c r="T574">
        <v>645921459</v>
      </c>
    </row>
    <row r="575" spans="1:20" x14ac:dyDescent="0.25">
      <c r="A575">
        <v>1026433</v>
      </c>
      <c r="B575" t="s">
        <v>3022</v>
      </c>
      <c r="D575" t="s">
        <v>131</v>
      </c>
      <c r="E575" t="s">
        <v>669</v>
      </c>
      <c r="F575">
        <v>2011</v>
      </c>
      <c r="G575" t="s">
        <v>1130</v>
      </c>
      <c r="H575" t="s">
        <v>3023</v>
      </c>
      <c r="I575" t="s">
        <v>3024</v>
      </c>
      <c r="J575" t="s">
        <v>26</v>
      </c>
      <c r="K575" t="s">
        <v>48</v>
      </c>
      <c r="L575" t="b">
        <v>1</v>
      </c>
      <c r="M575" t="s">
        <v>3025</v>
      </c>
      <c r="N575" t="str">
        <f>"822/.92"</f>
        <v>822/.92</v>
      </c>
      <c r="O575" t="s">
        <v>912</v>
      </c>
      <c r="P575" t="b">
        <v>1</v>
      </c>
      <c r="R575" t="str">
        <f>"9781849431927"</f>
        <v>9781849431927</v>
      </c>
      <c r="S575" t="str">
        <f>"9781849436601"</f>
        <v>9781849436601</v>
      </c>
      <c r="T575">
        <v>904207871</v>
      </c>
    </row>
    <row r="576" spans="1:20" x14ac:dyDescent="0.25">
      <c r="A576">
        <v>1026432</v>
      </c>
      <c r="B576" t="s">
        <v>3026</v>
      </c>
      <c r="D576" t="s">
        <v>131</v>
      </c>
      <c r="E576" t="s">
        <v>669</v>
      </c>
      <c r="F576">
        <v>2012</v>
      </c>
      <c r="G576" t="s">
        <v>3027</v>
      </c>
      <c r="H576" t="s">
        <v>3028</v>
      </c>
      <c r="I576" t="s">
        <v>3029</v>
      </c>
      <c r="J576" t="s">
        <v>26</v>
      </c>
      <c r="K576" t="s">
        <v>48</v>
      </c>
      <c r="L576" t="b">
        <v>1</v>
      </c>
      <c r="M576" t="s">
        <v>3030</v>
      </c>
      <c r="N576" t="str">
        <f>"792.01/5"</f>
        <v>792.01/5</v>
      </c>
      <c r="P576" t="b">
        <v>0</v>
      </c>
      <c r="R576" t="str">
        <f>"9781840029734"</f>
        <v>9781840029734</v>
      </c>
      <c r="S576" t="str">
        <f>"9781849432962"</f>
        <v>9781849432962</v>
      </c>
      <c r="T576">
        <v>870601053</v>
      </c>
    </row>
    <row r="577" spans="1:20" x14ac:dyDescent="0.25">
      <c r="A577">
        <v>1026431</v>
      </c>
      <c r="B577" t="s">
        <v>3031</v>
      </c>
      <c r="D577" t="s">
        <v>131</v>
      </c>
      <c r="E577" t="s">
        <v>669</v>
      </c>
      <c r="F577">
        <v>2012</v>
      </c>
      <c r="G577" t="s">
        <v>1130</v>
      </c>
      <c r="H577" t="s">
        <v>3032</v>
      </c>
      <c r="I577" t="s">
        <v>3033</v>
      </c>
      <c r="J577" t="s">
        <v>26</v>
      </c>
      <c r="K577" t="s">
        <v>48</v>
      </c>
      <c r="L577" t="b">
        <v>1</v>
      </c>
      <c r="M577" t="s">
        <v>3034</v>
      </c>
      <c r="N577" t="str">
        <f>"808.82"</f>
        <v>808.82</v>
      </c>
      <c r="O577" t="s">
        <v>764</v>
      </c>
      <c r="P577" t="b">
        <v>1</v>
      </c>
      <c r="R577" t="str">
        <f>"9781840028867"</f>
        <v>9781840028867</v>
      </c>
      <c r="S577" t="str">
        <f>"9781849432689"</f>
        <v>9781849432689</v>
      </c>
      <c r="T577">
        <v>818787194</v>
      </c>
    </row>
    <row r="578" spans="1:20" x14ac:dyDescent="0.25">
      <c r="A578">
        <v>1026429</v>
      </c>
      <c r="B578" t="s">
        <v>3035</v>
      </c>
      <c r="D578" t="s">
        <v>131</v>
      </c>
      <c r="E578" t="s">
        <v>669</v>
      </c>
      <c r="F578">
        <v>2011</v>
      </c>
      <c r="G578" t="s">
        <v>1130</v>
      </c>
      <c r="H578" t="s">
        <v>3036</v>
      </c>
      <c r="I578" t="s">
        <v>3037</v>
      </c>
      <c r="J578" t="s">
        <v>26</v>
      </c>
      <c r="K578" t="s">
        <v>48</v>
      </c>
      <c r="L578" t="b">
        <v>1</v>
      </c>
      <c r="M578" t="s">
        <v>3038</v>
      </c>
      <c r="N578" t="str">
        <f>"822.92"</f>
        <v>822.92</v>
      </c>
      <c r="O578" t="s">
        <v>912</v>
      </c>
      <c r="P578" t="b">
        <v>1</v>
      </c>
      <c r="R578" t="str">
        <f>"9781849432115"</f>
        <v>9781849432115</v>
      </c>
      <c r="S578" t="str">
        <f>"9781849437400"</f>
        <v>9781849437400</v>
      </c>
      <c r="T578">
        <v>904208008</v>
      </c>
    </row>
    <row r="579" spans="1:20" x14ac:dyDescent="0.25">
      <c r="A579">
        <v>1026427</v>
      </c>
      <c r="B579" t="s">
        <v>3039</v>
      </c>
      <c r="D579" t="s">
        <v>131</v>
      </c>
      <c r="E579" t="s">
        <v>669</v>
      </c>
      <c r="F579">
        <v>2012</v>
      </c>
      <c r="G579" t="s">
        <v>1130</v>
      </c>
      <c r="H579" t="s">
        <v>3040</v>
      </c>
      <c r="I579" t="s">
        <v>3041</v>
      </c>
      <c r="J579" t="s">
        <v>26</v>
      </c>
      <c r="K579" t="s">
        <v>48</v>
      </c>
      <c r="L579" t="b">
        <v>1</v>
      </c>
      <c r="M579" t="s">
        <v>3042</v>
      </c>
      <c r="N579" t="str">
        <f>"809.25232"</f>
        <v>809.25232</v>
      </c>
      <c r="P579" t="b">
        <v>1</v>
      </c>
      <c r="R579" t="str">
        <f>"9781849431514"</f>
        <v>9781849431514</v>
      </c>
      <c r="S579" t="str">
        <f>"9781849436021"</f>
        <v>9781849436021</v>
      </c>
      <c r="T579">
        <v>903055027</v>
      </c>
    </row>
    <row r="580" spans="1:20" x14ac:dyDescent="0.25">
      <c r="A580">
        <v>1026425</v>
      </c>
      <c r="B580" t="s">
        <v>3043</v>
      </c>
      <c r="C580" t="s">
        <v>3044</v>
      </c>
      <c r="D580" t="s">
        <v>131</v>
      </c>
      <c r="E580" t="s">
        <v>669</v>
      </c>
      <c r="F580">
        <v>2012</v>
      </c>
      <c r="G580" t="s">
        <v>1130</v>
      </c>
      <c r="H580" t="s">
        <v>3045</v>
      </c>
      <c r="I580" t="s">
        <v>3046</v>
      </c>
      <c r="J580" t="s">
        <v>26</v>
      </c>
      <c r="K580" t="s">
        <v>48</v>
      </c>
      <c r="L580" t="b">
        <v>1</v>
      </c>
      <c r="M580" t="s">
        <v>3047</v>
      </c>
      <c r="N580" t="str">
        <f>"822.92"</f>
        <v>822.92</v>
      </c>
      <c r="O580" t="s">
        <v>912</v>
      </c>
      <c r="P580" t="b">
        <v>1</v>
      </c>
      <c r="R580" t="str">
        <f>"9781849431705"</f>
        <v>9781849431705</v>
      </c>
      <c r="S580" t="str">
        <f>"9781849432795"</f>
        <v>9781849432795</v>
      </c>
      <c r="T580">
        <v>903055422</v>
      </c>
    </row>
    <row r="581" spans="1:20" x14ac:dyDescent="0.25">
      <c r="A581">
        <v>1026422</v>
      </c>
      <c r="B581" t="s">
        <v>3048</v>
      </c>
      <c r="D581" t="s">
        <v>131</v>
      </c>
      <c r="E581" t="s">
        <v>669</v>
      </c>
      <c r="F581">
        <v>2012</v>
      </c>
      <c r="G581" t="s">
        <v>1130</v>
      </c>
      <c r="H581" t="s">
        <v>3049</v>
      </c>
      <c r="J581" t="s">
        <v>26</v>
      </c>
      <c r="K581" t="s">
        <v>48</v>
      </c>
      <c r="L581" t="b">
        <v>1</v>
      </c>
      <c r="M581" t="s">
        <v>2859</v>
      </c>
      <c r="N581" t="str">
        <f>"822/.92"</f>
        <v>822/.92</v>
      </c>
      <c r="P581" t="b">
        <v>1</v>
      </c>
      <c r="R581" t="str">
        <f>"9781840029642"</f>
        <v>9781840029642</v>
      </c>
      <c r="S581" t="str">
        <f>"9781849438230"</f>
        <v>9781849438230</v>
      </c>
      <c r="T581">
        <v>870601119</v>
      </c>
    </row>
    <row r="582" spans="1:20" x14ac:dyDescent="0.25">
      <c r="A582">
        <v>1026420</v>
      </c>
      <c r="B582" t="s">
        <v>3050</v>
      </c>
      <c r="C582" t="s">
        <v>3051</v>
      </c>
      <c r="D582" t="s">
        <v>131</v>
      </c>
      <c r="E582" t="s">
        <v>669</v>
      </c>
      <c r="F582">
        <v>2011</v>
      </c>
      <c r="G582" t="s">
        <v>1130</v>
      </c>
      <c r="H582" t="s">
        <v>3052</v>
      </c>
      <c r="I582" t="s">
        <v>3053</v>
      </c>
      <c r="J582" t="s">
        <v>26</v>
      </c>
      <c r="K582" t="s">
        <v>48</v>
      </c>
      <c r="L582" t="b">
        <v>1</v>
      </c>
      <c r="M582" t="s">
        <v>3054</v>
      </c>
      <c r="N582" t="str">
        <f>"822.9208"</f>
        <v>822.9208</v>
      </c>
      <c r="O582" t="s">
        <v>764</v>
      </c>
      <c r="P582" t="b">
        <v>1</v>
      </c>
      <c r="R582" t="str">
        <f>"9781849430906"</f>
        <v>9781849430906</v>
      </c>
      <c r="S582" t="str">
        <f>"9781849436908"</f>
        <v>9781849436908</v>
      </c>
      <c r="T582">
        <v>904207987</v>
      </c>
    </row>
    <row r="583" spans="1:20" x14ac:dyDescent="0.25">
      <c r="A583">
        <v>1026419</v>
      </c>
      <c r="B583" t="s">
        <v>3055</v>
      </c>
      <c r="D583" t="s">
        <v>131</v>
      </c>
      <c r="E583" t="s">
        <v>669</v>
      </c>
      <c r="F583">
        <v>2011</v>
      </c>
      <c r="G583" t="s">
        <v>1130</v>
      </c>
      <c r="H583" t="s">
        <v>3056</v>
      </c>
      <c r="I583" t="s">
        <v>3057</v>
      </c>
      <c r="J583" t="s">
        <v>26</v>
      </c>
      <c r="K583" t="s">
        <v>48</v>
      </c>
      <c r="L583" t="b">
        <v>1</v>
      </c>
      <c r="M583" t="s">
        <v>3058</v>
      </c>
      <c r="N583" t="str">
        <f>"822/.914"</f>
        <v>822/.914</v>
      </c>
      <c r="O583" t="s">
        <v>912</v>
      </c>
      <c r="P583" t="b">
        <v>1</v>
      </c>
      <c r="R583" t="str">
        <f>"9781849431200"</f>
        <v>9781849431200</v>
      </c>
      <c r="S583" t="str">
        <f>"9781849433389"</f>
        <v>9781849433389</v>
      </c>
      <c r="T583">
        <v>904207719</v>
      </c>
    </row>
    <row r="584" spans="1:20" x14ac:dyDescent="0.25">
      <c r="A584">
        <v>1026418</v>
      </c>
      <c r="B584" t="s">
        <v>3059</v>
      </c>
      <c r="D584" t="s">
        <v>131</v>
      </c>
      <c r="E584" t="s">
        <v>669</v>
      </c>
      <c r="F584">
        <v>2011</v>
      </c>
      <c r="G584" t="s">
        <v>1130</v>
      </c>
      <c r="H584" t="s">
        <v>3060</v>
      </c>
      <c r="I584" t="s">
        <v>3061</v>
      </c>
      <c r="J584" t="s">
        <v>26</v>
      </c>
      <c r="K584" t="s">
        <v>48</v>
      </c>
      <c r="L584" t="b">
        <v>1</v>
      </c>
      <c r="M584" t="s">
        <v>3062</v>
      </c>
      <c r="N584" t="str">
        <f>"812.54"</f>
        <v>812.54</v>
      </c>
      <c r="P584" t="b">
        <v>1</v>
      </c>
      <c r="R584" t="str">
        <f>"9781840029888"</f>
        <v>9781840029888</v>
      </c>
      <c r="S584" t="str">
        <f>"9781849436731"</f>
        <v>9781849436731</v>
      </c>
      <c r="T584">
        <v>904114537</v>
      </c>
    </row>
    <row r="585" spans="1:20" x14ac:dyDescent="0.25">
      <c r="A585">
        <v>1026416</v>
      </c>
      <c r="B585" t="s">
        <v>3063</v>
      </c>
      <c r="D585" t="s">
        <v>131</v>
      </c>
      <c r="E585" t="s">
        <v>669</v>
      </c>
      <c r="F585">
        <v>2012</v>
      </c>
      <c r="G585" t="s">
        <v>3027</v>
      </c>
      <c r="H585" t="s">
        <v>3064</v>
      </c>
      <c r="I585" t="s">
        <v>3065</v>
      </c>
      <c r="J585" t="s">
        <v>26</v>
      </c>
      <c r="K585" t="s">
        <v>48</v>
      </c>
      <c r="L585" t="b">
        <v>1</v>
      </c>
      <c r="M585" t="s">
        <v>3066</v>
      </c>
      <c r="N585" t="str">
        <f>"822/.33"</f>
        <v>822/.33</v>
      </c>
      <c r="P585" t="b">
        <v>0</v>
      </c>
      <c r="R585" t="str">
        <f>"9781840029192"</f>
        <v>9781840029192</v>
      </c>
      <c r="S585" t="str">
        <f>"9781849433556"</f>
        <v>9781849433556</v>
      </c>
      <c r="T585">
        <v>870601017</v>
      </c>
    </row>
    <row r="586" spans="1:20" x14ac:dyDescent="0.25">
      <c r="A586">
        <v>1026414</v>
      </c>
      <c r="B586" t="s">
        <v>3067</v>
      </c>
      <c r="D586" t="s">
        <v>131</v>
      </c>
      <c r="E586" t="s">
        <v>669</v>
      </c>
      <c r="F586">
        <v>2010</v>
      </c>
      <c r="G586" t="s">
        <v>3068</v>
      </c>
      <c r="H586" t="s">
        <v>3069</v>
      </c>
      <c r="I586" t="s">
        <v>3070</v>
      </c>
      <c r="J586" t="s">
        <v>26</v>
      </c>
      <c r="K586" t="s">
        <v>48</v>
      </c>
      <c r="L586" t="b">
        <v>1</v>
      </c>
      <c r="M586" t="s">
        <v>3071</v>
      </c>
      <c r="N586" t="str">
        <f>"782.1/4"</f>
        <v>782.1/4</v>
      </c>
      <c r="P586" t="b">
        <v>0</v>
      </c>
      <c r="R586" t="str">
        <f>"9781849430180"</f>
        <v>9781849430180</v>
      </c>
      <c r="S586" t="str">
        <f>"9781849433129"</f>
        <v>9781849433129</v>
      </c>
      <c r="T586">
        <v>945735436</v>
      </c>
    </row>
    <row r="587" spans="1:20" x14ac:dyDescent="0.25">
      <c r="A587">
        <v>1026413</v>
      </c>
      <c r="B587" t="s">
        <v>3072</v>
      </c>
      <c r="D587" t="s">
        <v>131</v>
      </c>
      <c r="E587" t="s">
        <v>669</v>
      </c>
      <c r="F587">
        <v>2011</v>
      </c>
      <c r="G587" t="s">
        <v>1130</v>
      </c>
      <c r="H587" t="s">
        <v>3073</v>
      </c>
      <c r="I587" t="s">
        <v>3074</v>
      </c>
      <c r="J587" t="s">
        <v>26</v>
      </c>
      <c r="K587" t="s">
        <v>48</v>
      </c>
      <c r="L587" t="b">
        <v>1</v>
      </c>
      <c r="M587" t="s">
        <v>3075</v>
      </c>
      <c r="N587" t="str">
        <f>"822.92"</f>
        <v>822.92</v>
      </c>
      <c r="O587" t="s">
        <v>912</v>
      </c>
      <c r="P587" t="b">
        <v>1</v>
      </c>
      <c r="R587" t="str">
        <f>"9781849431620"</f>
        <v>9781849431620</v>
      </c>
      <c r="S587" t="str">
        <f>"9781849437080"</f>
        <v>9781849437080</v>
      </c>
      <c r="T587">
        <v>904207991</v>
      </c>
    </row>
    <row r="588" spans="1:20" x14ac:dyDescent="0.25">
      <c r="A588">
        <v>1026410</v>
      </c>
      <c r="B588" t="s">
        <v>3076</v>
      </c>
      <c r="D588" t="s">
        <v>131</v>
      </c>
      <c r="E588" t="s">
        <v>669</v>
      </c>
      <c r="F588">
        <v>2012</v>
      </c>
      <c r="G588" t="s">
        <v>1130</v>
      </c>
      <c r="H588" t="s">
        <v>3077</v>
      </c>
      <c r="I588" t="s">
        <v>3078</v>
      </c>
      <c r="J588" t="s">
        <v>26</v>
      </c>
      <c r="K588" t="s">
        <v>48</v>
      </c>
      <c r="L588" t="b">
        <v>1</v>
      </c>
      <c r="M588" t="s">
        <v>3079</v>
      </c>
      <c r="N588" t="str">
        <f>"809.2"</f>
        <v>809.2</v>
      </c>
      <c r="O588" t="s">
        <v>764</v>
      </c>
      <c r="P588" t="b">
        <v>1</v>
      </c>
      <c r="R588" t="str">
        <f>"9781849430531"</f>
        <v>9781849430531</v>
      </c>
      <c r="S588" t="str">
        <f>"9781849437042"</f>
        <v>9781849437042</v>
      </c>
      <c r="T588">
        <v>870601112</v>
      </c>
    </row>
    <row r="589" spans="1:20" x14ac:dyDescent="0.25">
      <c r="A589">
        <v>1026408</v>
      </c>
      <c r="B589" t="s">
        <v>3080</v>
      </c>
      <c r="D589" t="s">
        <v>131</v>
      </c>
      <c r="E589" t="s">
        <v>669</v>
      </c>
      <c r="F589">
        <v>2012</v>
      </c>
      <c r="G589" t="s">
        <v>1130</v>
      </c>
      <c r="H589" t="s">
        <v>3081</v>
      </c>
      <c r="I589" t="s">
        <v>3082</v>
      </c>
      <c r="J589" t="s">
        <v>26</v>
      </c>
      <c r="K589" t="s">
        <v>48</v>
      </c>
      <c r="L589" t="b">
        <v>1</v>
      </c>
      <c r="M589" t="s">
        <v>3083</v>
      </c>
      <c r="N589" t="str">
        <f>"822.92"</f>
        <v>822.92</v>
      </c>
      <c r="O589" t="s">
        <v>912</v>
      </c>
      <c r="P589" t="b">
        <v>1</v>
      </c>
      <c r="R589" t="str">
        <f>"9781849434690"</f>
        <v>9781849434690</v>
      </c>
      <c r="S589" t="str">
        <f>"9781849435888"</f>
        <v>9781849435888</v>
      </c>
      <c r="T589">
        <v>903172373</v>
      </c>
    </row>
    <row r="590" spans="1:20" x14ac:dyDescent="0.25">
      <c r="A590">
        <v>1026406</v>
      </c>
      <c r="B590" t="s">
        <v>3084</v>
      </c>
      <c r="D590" t="s">
        <v>131</v>
      </c>
      <c r="E590" t="s">
        <v>669</v>
      </c>
      <c r="F590">
        <v>2011</v>
      </c>
      <c r="G590" t="s">
        <v>1130</v>
      </c>
      <c r="H590" t="s">
        <v>3085</v>
      </c>
      <c r="I590" t="s">
        <v>3086</v>
      </c>
      <c r="J590" t="s">
        <v>26</v>
      </c>
      <c r="K590" t="s">
        <v>48</v>
      </c>
      <c r="L590" t="b">
        <v>1</v>
      </c>
      <c r="M590" t="s">
        <v>3087</v>
      </c>
      <c r="N590" t="str">
        <f>"812.54"</f>
        <v>812.54</v>
      </c>
      <c r="O590" t="s">
        <v>912</v>
      </c>
      <c r="P590" t="b">
        <v>1</v>
      </c>
      <c r="R590" t="str">
        <f>"9781849431811"</f>
        <v>9781849431811</v>
      </c>
      <c r="S590" t="str">
        <f>"9781849437424"</f>
        <v>9781849437424</v>
      </c>
      <c r="T590">
        <v>903910676</v>
      </c>
    </row>
    <row r="591" spans="1:20" x14ac:dyDescent="0.25">
      <c r="A591">
        <v>1026403</v>
      </c>
      <c r="B591" t="s">
        <v>3088</v>
      </c>
      <c r="D591" t="s">
        <v>131</v>
      </c>
      <c r="E591" t="s">
        <v>669</v>
      </c>
      <c r="F591">
        <v>2012</v>
      </c>
      <c r="G591" t="s">
        <v>1130</v>
      </c>
      <c r="H591" t="s">
        <v>3089</v>
      </c>
      <c r="I591" t="s">
        <v>3004</v>
      </c>
      <c r="J591" t="s">
        <v>26</v>
      </c>
      <c r="K591" t="s">
        <v>48</v>
      </c>
      <c r="L591" t="b">
        <v>1</v>
      </c>
      <c r="M591" t="s">
        <v>3090</v>
      </c>
      <c r="N591" t="str">
        <f>"822/.92"</f>
        <v>822/.92</v>
      </c>
      <c r="O591" t="s">
        <v>912</v>
      </c>
      <c r="P591" t="b">
        <v>1</v>
      </c>
      <c r="R591" t="str">
        <f>"9781849430944"</f>
        <v>9781849430944</v>
      </c>
      <c r="S591" t="str">
        <f>"9781849435307"</f>
        <v>9781849435307</v>
      </c>
      <c r="T591">
        <v>974232346</v>
      </c>
    </row>
    <row r="592" spans="1:20" x14ac:dyDescent="0.25">
      <c r="A592">
        <v>1026402</v>
      </c>
      <c r="B592" t="s">
        <v>3091</v>
      </c>
      <c r="D592" t="s">
        <v>131</v>
      </c>
      <c r="E592" t="s">
        <v>669</v>
      </c>
      <c r="F592">
        <v>2011</v>
      </c>
      <c r="G592" t="s">
        <v>1130</v>
      </c>
      <c r="H592" t="s">
        <v>3092</v>
      </c>
      <c r="I592" t="s">
        <v>3093</v>
      </c>
      <c r="J592" t="s">
        <v>26</v>
      </c>
      <c r="K592" t="s">
        <v>48</v>
      </c>
      <c r="L592" t="b">
        <v>1</v>
      </c>
      <c r="M592" t="s">
        <v>3094</v>
      </c>
      <c r="N592" t="str">
        <f>"822/.92"</f>
        <v>822/.92</v>
      </c>
      <c r="P592" t="b">
        <v>1</v>
      </c>
      <c r="R592" t="str">
        <f>"9781849432436"</f>
        <v>9781849432436</v>
      </c>
      <c r="S592" t="str">
        <f>"9781849433662"</f>
        <v>9781849433662</v>
      </c>
      <c r="T592">
        <v>870600810</v>
      </c>
    </row>
    <row r="593" spans="1:20" x14ac:dyDescent="0.25">
      <c r="A593">
        <v>1026398</v>
      </c>
      <c r="B593" t="s">
        <v>3095</v>
      </c>
      <c r="D593" t="s">
        <v>131</v>
      </c>
      <c r="E593" t="s">
        <v>669</v>
      </c>
      <c r="F593">
        <v>2012</v>
      </c>
      <c r="G593" t="s">
        <v>1130</v>
      </c>
      <c r="H593" t="s">
        <v>3096</v>
      </c>
      <c r="I593" t="s">
        <v>3097</v>
      </c>
      <c r="J593" t="s">
        <v>26</v>
      </c>
      <c r="K593" t="s">
        <v>48</v>
      </c>
      <c r="L593" t="b">
        <v>1</v>
      </c>
      <c r="M593" t="s">
        <v>3098</v>
      </c>
      <c r="N593" t="str">
        <f>"822.92"</f>
        <v>822.92</v>
      </c>
      <c r="P593" t="b">
        <v>1</v>
      </c>
      <c r="R593" t="str">
        <f>"9781849433907"</f>
        <v>9781849433907</v>
      </c>
      <c r="S593" t="str">
        <f>"9781849435413"</f>
        <v>9781849435413</v>
      </c>
      <c r="T593">
        <v>826638679</v>
      </c>
    </row>
    <row r="594" spans="1:20" x14ac:dyDescent="0.25">
      <c r="A594">
        <v>1026397</v>
      </c>
      <c r="B594" t="s">
        <v>3099</v>
      </c>
      <c r="D594" t="s">
        <v>131</v>
      </c>
      <c r="E594" t="s">
        <v>669</v>
      </c>
      <c r="F594">
        <v>2012</v>
      </c>
      <c r="G594" t="s">
        <v>1130</v>
      </c>
      <c r="H594" t="s">
        <v>3100</v>
      </c>
      <c r="I594" t="s">
        <v>3101</v>
      </c>
      <c r="J594" t="s">
        <v>26</v>
      </c>
      <c r="K594" t="s">
        <v>48</v>
      </c>
      <c r="L594" t="b">
        <v>1</v>
      </c>
      <c r="M594" t="s">
        <v>3102</v>
      </c>
      <c r="N594" t="str">
        <f>"822/.92"</f>
        <v>822/.92</v>
      </c>
      <c r="O594" t="s">
        <v>912</v>
      </c>
      <c r="P594" t="b">
        <v>1</v>
      </c>
      <c r="R594" t="str">
        <f>"9781849431453"</f>
        <v>9781849431453</v>
      </c>
      <c r="S594" t="str">
        <f>"9781849437585"</f>
        <v>9781849437585</v>
      </c>
      <c r="T594">
        <v>870601117</v>
      </c>
    </row>
    <row r="595" spans="1:20" x14ac:dyDescent="0.25">
      <c r="A595">
        <v>1026393</v>
      </c>
      <c r="B595" t="s">
        <v>3103</v>
      </c>
      <c r="D595" t="s">
        <v>131</v>
      </c>
      <c r="E595" t="s">
        <v>669</v>
      </c>
      <c r="F595">
        <v>2011</v>
      </c>
      <c r="G595" t="s">
        <v>1130</v>
      </c>
      <c r="H595" t="s">
        <v>3104</v>
      </c>
      <c r="I595" t="s">
        <v>910</v>
      </c>
      <c r="J595" t="s">
        <v>26</v>
      </c>
      <c r="K595" t="s">
        <v>48</v>
      </c>
      <c r="L595" t="b">
        <v>1</v>
      </c>
      <c r="M595" t="s">
        <v>3105</v>
      </c>
      <c r="N595" t="str">
        <f>"822.92"</f>
        <v>822.92</v>
      </c>
      <c r="O595" t="s">
        <v>912</v>
      </c>
      <c r="P595" t="b">
        <v>1</v>
      </c>
      <c r="R595" t="str">
        <f>"9781849431651"</f>
        <v>9781849431651</v>
      </c>
      <c r="S595" t="str">
        <f>"9781849433198"</f>
        <v>9781849433198</v>
      </c>
      <c r="T595">
        <v>903910630</v>
      </c>
    </row>
    <row r="596" spans="1:20" x14ac:dyDescent="0.25">
      <c r="A596">
        <v>1026390</v>
      </c>
      <c r="B596" t="s">
        <v>3106</v>
      </c>
      <c r="D596" t="s">
        <v>131</v>
      </c>
      <c r="E596" t="s">
        <v>669</v>
      </c>
      <c r="F596">
        <v>2016</v>
      </c>
      <c r="G596" t="s">
        <v>1130</v>
      </c>
      <c r="H596" t="s">
        <v>3107</v>
      </c>
      <c r="I596" t="s">
        <v>3108</v>
      </c>
      <c r="J596" t="s">
        <v>26</v>
      </c>
      <c r="K596" t="s">
        <v>48</v>
      </c>
      <c r="L596" t="b">
        <v>1</v>
      </c>
      <c r="M596" t="s">
        <v>3109</v>
      </c>
      <c r="N596" t="str">
        <f>"822.92"</f>
        <v>822.92</v>
      </c>
      <c r="O596" t="s">
        <v>970</v>
      </c>
      <c r="P596" t="b">
        <v>1</v>
      </c>
      <c r="R596" t="str">
        <f>"9781840026665"</f>
        <v>9781840026665</v>
      </c>
      <c r="S596" t="str">
        <f>"9781849438247"</f>
        <v>9781849438247</v>
      </c>
      <c r="T596">
        <v>958945884</v>
      </c>
    </row>
    <row r="597" spans="1:20" x14ac:dyDescent="0.25">
      <c r="A597">
        <v>1026389</v>
      </c>
      <c r="B597" t="s">
        <v>3110</v>
      </c>
      <c r="D597" t="s">
        <v>131</v>
      </c>
      <c r="E597" t="s">
        <v>669</v>
      </c>
      <c r="F597">
        <v>2012</v>
      </c>
      <c r="G597" t="s">
        <v>1130</v>
      </c>
      <c r="H597" t="s">
        <v>3111</v>
      </c>
      <c r="I597" t="s">
        <v>1069</v>
      </c>
      <c r="J597" t="s">
        <v>26</v>
      </c>
      <c r="K597" t="s">
        <v>48</v>
      </c>
      <c r="L597" t="b">
        <v>1</v>
      </c>
      <c r="M597" t="s">
        <v>3112</v>
      </c>
      <c r="N597" t="str">
        <f>"822.92"</f>
        <v>822.92</v>
      </c>
      <c r="P597" t="b">
        <v>1</v>
      </c>
      <c r="R597" t="str">
        <f>"9781849431385"</f>
        <v>9781849431385</v>
      </c>
      <c r="S597" t="str">
        <f>"9781849433532"</f>
        <v>9781849433532</v>
      </c>
      <c r="T597">
        <v>946084723</v>
      </c>
    </row>
    <row r="598" spans="1:20" x14ac:dyDescent="0.25">
      <c r="A598">
        <v>1026386</v>
      </c>
      <c r="B598" t="s">
        <v>3113</v>
      </c>
      <c r="D598" t="s">
        <v>131</v>
      </c>
      <c r="E598" t="s">
        <v>669</v>
      </c>
      <c r="F598">
        <v>2012</v>
      </c>
      <c r="G598" t="s">
        <v>1130</v>
      </c>
      <c r="H598" t="s">
        <v>3114</v>
      </c>
      <c r="I598" t="s">
        <v>3115</v>
      </c>
      <c r="J598" t="s">
        <v>26</v>
      </c>
      <c r="K598" t="s">
        <v>48</v>
      </c>
      <c r="L598" t="b">
        <v>1</v>
      </c>
      <c r="M598" t="s">
        <v>3034</v>
      </c>
      <c r="N598" t="str">
        <f>"822.914"</f>
        <v>822.914</v>
      </c>
      <c r="P598" t="b">
        <v>1</v>
      </c>
      <c r="R598" t="str">
        <f>"9781840027181"</f>
        <v>9781840027181</v>
      </c>
      <c r="S598" t="str">
        <f>"9781849433006"</f>
        <v>9781849433006</v>
      </c>
      <c r="T598">
        <v>870600999</v>
      </c>
    </row>
    <row r="599" spans="1:20" x14ac:dyDescent="0.25">
      <c r="A599">
        <v>1026384</v>
      </c>
      <c r="B599" t="s">
        <v>3116</v>
      </c>
      <c r="D599" t="s">
        <v>131</v>
      </c>
      <c r="E599" t="s">
        <v>669</v>
      </c>
      <c r="F599">
        <v>2011</v>
      </c>
      <c r="G599" t="s">
        <v>1130</v>
      </c>
      <c r="H599" t="s">
        <v>3117</v>
      </c>
      <c r="I599" t="s">
        <v>3118</v>
      </c>
      <c r="J599" t="s">
        <v>26</v>
      </c>
      <c r="K599" t="s">
        <v>48</v>
      </c>
      <c r="L599" t="b">
        <v>1</v>
      </c>
      <c r="M599" t="s">
        <v>3119</v>
      </c>
      <c r="N599" t="str">
        <f>"812.54"</f>
        <v>812.54</v>
      </c>
      <c r="O599" t="s">
        <v>764</v>
      </c>
      <c r="P599" t="b">
        <v>1</v>
      </c>
      <c r="R599" t="str">
        <f>"9781849430883"</f>
        <v>9781849430883</v>
      </c>
      <c r="S599" t="str">
        <f>"9781849439282"</f>
        <v>9781849439282</v>
      </c>
      <c r="T599">
        <v>903910623</v>
      </c>
    </row>
    <row r="600" spans="1:20" x14ac:dyDescent="0.25">
      <c r="A600">
        <v>1026383</v>
      </c>
      <c r="B600" t="s">
        <v>3120</v>
      </c>
      <c r="D600" t="s">
        <v>131</v>
      </c>
      <c r="E600" t="s">
        <v>669</v>
      </c>
      <c r="F600">
        <v>2012</v>
      </c>
      <c r="G600" t="s">
        <v>1130</v>
      </c>
      <c r="H600" t="s">
        <v>3121</v>
      </c>
      <c r="I600" t="s">
        <v>3122</v>
      </c>
      <c r="J600" t="s">
        <v>26</v>
      </c>
      <c r="K600" t="s">
        <v>48</v>
      </c>
      <c r="L600" t="b">
        <v>1</v>
      </c>
      <c r="M600" t="s">
        <v>3123</v>
      </c>
      <c r="N600" t="str">
        <f>"812.608"</f>
        <v>812.608</v>
      </c>
      <c r="O600" t="s">
        <v>3124</v>
      </c>
      <c r="P600" t="b">
        <v>1</v>
      </c>
      <c r="R600" t="str">
        <f>"9781849431538"</f>
        <v>9781849431538</v>
      </c>
      <c r="S600" t="str">
        <f>"9781849436182"</f>
        <v>9781849436182</v>
      </c>
      <c r="T600">
        <v>826639832</v>
      </c>
    </row>
    <row r="601" spans="1:20" x14ac:dyDescent="0.25">
      <c r="A601">
        <v>1026381</v>
      </c>
      <c r="B601" t="s">
        <v>3125</v>
      </c>
      <c r="D601" t="s">
        <v>131</v>
      </c>
      <c r="E601" t="s">
        <v>669</v>
      </c>
      <c r="F601">
        <v>2012</v>
      </c>
      <c r="G601" t="s">
        <v>1130</v>
      </c>
      <c r="H601" t="s">
        <v>3126</v>
      </c>
      <c r="I601" t="s">
        <v>3127</v>
      </c>
      <c r="J601" t="s">
        <v>26</v>
      </c>
      <c r="K601" t="s">
        <v>48</v>
      </c>
      <c r="L601" t="b">
        <v>1</v>
      </c>
      <c r="M601" t="s">
        <v>3128</v>
      </c>
      <c r="N601" t="str">
        <f>"822/.92"</f>
        <v>822/.92</v>
      </c>
      <c r="O601" t="s">
        <v>912</v>
      </c>
      <c r="P601" t="b">
        <v>1</v>
      </c>
      <c r="R601" t="str">
        <f>"9781849434881"</f>
        <v>9781849434881</v>
      </c>
      <c r="S601" t="str">
        <f>"9781849436649"</f>
        <v>9781849436649</v>
      </c>
      <c r="T601">
        <v>903049666</v>
      </c>
    </row>
    <row r="602" spans="1:20" x14ac:dyDescent="0.25">
      <c r="A602">
        <v>1026374</v>
      </c>
      <c r="B602" t="s">
        <v>3129</v>
      </c>
      <c r="D602" t="s">
        <v>131</v>
      </c>
      <c r="E602" t="s">
        <v>669</v>
      </c>
      <c r="F602">
        <v>2008</v>
      </c>
      <c r="G602" t="s">
        <v>1130</v>
      </c>
      <c r="H602" t="s">
        <v>3130</v>
      </c>
      <c r="I602" t="s">
        <v>910</v>
      </c>
      <c r="J602" t="s">
        <v>26</v>
      </c>
      <c r="K602" t="s">
        <v>48</v>
      </c>
      <c r="L602" t="b">
        <v>1</v>
      </c>
      <c r="M602" t="s">
        <v>1267</v>
      </c>
      <c r="N602" t="str">
        <f>"822/.914"</f>
        <v>822/.914</v>
      </c>
      <c r="O602" t="s">
        <v>764</v>
      </c>
      <c r="P602" t="b">
        <v>1</v>
      </c>
      <c r="R602" t="str">
        <f>"9781840028515"</f>
        <v>9781840028515</v>
      </c>
      <c r="S602" t="str">
        <f>"9781849433792"</f>
        <v>9781849433792</v>
      </c>
      <c r="T602">
        <v>904957978</v>
      </c>
    </row>
    <row r="603" spans="1:20" x14ac:dyDescent="0.25">
      <c r="A603">
        <v>1026372</v>
      </c>
      <c r="B603" t="s">
        <v>3131</v>
      </c>
      <c r="D603" t="s">
        <v>131</v>
      </c>
      <c r="E603" t="s">
        <v>669</v>
      </c>
      <c r="F603">
        <v>2011</v>
      </c>
      <c r="G603" t="s">
        <v>1130</v>
      </c>
      <c r="H603" t="s">
        <v>3132</v>
      </c>
      <c r="I603" t="s">
        <v>3133</v>
      </c>
      <c r="J603" t="s">
        <v>26</v>
      </c>
      <c r="K603" t="s">
        <v>48</v>
      </c>
      <c r="L603" t="b">
        <v>1</v>
      </c>
      <c r="M603" t="s">
        <v>3102</v>
      </c>
      <c r="N603" t="str">
        <f>"822.92"</f>
        <v>822.92</v>
      </c>
      <c r="O603" t="s">
        <v>912</v>
      </c>
      <c r="P603" t="b">
        <v>1</v>
      </c>
      <c r="R603" t="str">
        <f>"9781840025590"</f>
        <v>9781840025590</v>
      </c>
      <c r="S603" t="str">
        <f>"9781849437202"</f>
        <v>9781849437202</v>
      </c>
      <c r="T603">
        <v>974326179</v>
      </c>
    </row>
    <row r="604" spans="1:20" x14ac:dyDescent="0.25">
      <c r="A604">
        <v>1026371</v>
      </c>
      <c r="B604" t="s">
        <v>3134</v>
      </c>
      <c r="D604" t="s">
        <v>131</v>
      </c>
      <c r="E604" t="s">
        <v>669</v>
      </c>
      <c r="F604">
        <v>2012</v>
      </c>
      <c r="G604" t="s">
        <v>1130</v>
      </c>
      <c r="H604" t="s">
        <v>3135</v>
      </c>
      <c r="I604" t="s">
        <v>3136</v>
      </c>
      <c r="J604" t="s">
        <v>26</v>
      </c>
      <c r="K604" t="s">
        <v>48</v>
      </c>
      <c r="L604" t="b">
        <v>1</v>
      </c>
      <c r="M604" t="s">
        <v>3137</v>
      </c>
      <c r="N604" t="str">
        <f>"832.914"</f>
        <v>832.914</v>
      </c>
      <c r="O604" t="s">
        <v>912</v>
      </c>
      <c r="P604" t="b">
        <v>1</v>
      </c>
      <c r="R604" t="str">
        <f>"9781849434027"</f>
        <v>9781849434027</v>
      </c>
      <c r="S604" t="str">
        <f>"9781849436380"</f>
        <v>9781849436380</v>
      </c>
      <c r="T604">
        <v>903207210</v>
      </c>
    </row>
    <row r="605" spans="1:20" x14ac:dyDescent="0.25">
      <c r="A605">
        <v>1026370</v>
      </c>
      <c r="B605">
        <v>27</v>
      </c>
      <c r="D605" t="s">
        <v>131</v>
      </c>
      <c r="E605" t="s">
        <v>669</v>
      </c>
      <c r="F605">
        <v>2011</v>
      </c>
      <c r="G605" t="s">
        <v>1130</v>
      </c>
      <c r="H605" t="s">
        <v>3138</v>
      </c>
      <c r="I605" t="s">
        <v>3139</v>
      </c>
      <c r="J605" t="s">
        <v>26</v>
      </c>
      <c r="K605" t="s">
        <v>48</v>
      </c>
      <c r="L605" t="b">
        <v>1</v>
      </c>
      <c r="M605" t="s">
        <v>3140</v>
      </c>
      <c r="N605" t="str">
        <f>"822/.92"</f>
        <v>822/.92</v>
      </c>
      <c r="O605" t="s">
        <v>912</v>
      </c>
      <c r="P605" t="b">
        <v>1</v>
      </c>
      <c r="R605" t="str">
        <f>"9781849431774"</f>
        <v>9781849431774</v>
      </c>
      <c r="S605" t="str">
        <f>"9781849433747"</f>
        <v>9781849433747</v>
      </c>
      <c r="T605">
        <v>904207947</v>
      </c>
    </row>
    <row r="606" spans="1:20" x14ac:dyDescent="0.25">
      <c r="A606">
        <v>1026369</v>
      </c>
      <c r="B606" t="s">
        <v>3141</v>
      </c>
      <c r="D606" t="s">
        <v>131</v>
      </c>
      <c r="E606" t="s">
        <v>669</v>
      </c>
      <c r="F606">
        <v>2010</v>
      </c>
      <c r="G606" t="s">
        <v>1130</v>
      </c>
      <c r="H606" t="s">
        <v>3142</v>
      </c>
      <c r="I606" t="s">
        <v>910</v>
      </c>
      <c r="J606" t="s">
        <v>26</v>
      </c>
      <c r="K606" t="s">
        <v>48</v>
      </c>
      <c r="L606" t="b">
        <v>1</v>
      </c>
      <c r="M606" t="s">
        <v>3143</v>
      </c>
      <c r="N606" t="str">
        <f>"822/.92"</f>
        <v>822/.92</v>
      </c>
      <c r="O606" t="s">
        <v>764</v>
      </c>
      <c r="P606" t="b">
        <v>1</v>
      </c>
      <c r="R606" t="str">
        <f>"9781849430708"</f>
        <v>9781849430708</v>
      </c>
      <c r="S606" t="str">
        <f>"9781849439138"</f>
        <v>9781849439138</v>
      </c>
      <c r="T606">
        <v>946038470</v>
      </c>
    </row>
    <row r="607" spans="1:20" x14ac:dyDescent="0.25">
      <c r="A607">
        <v>1026368</v>
      </c>
      <c r="B607" t="s">
        <v>3144</v>
      </c>
      <c r="C607" t="s">
        <v>3145</v>
      </c>
      <c r="D607" t="s">
        <v>131</v>
      </c>
      <c r="E607" t="s">
        <v>669</v>
      </c>
      <c r="F607">
        <v>2012</v>
      </c>
      <c r="G607" t="s">
        <v>1130</v>
      </c>
      <c r="H607" t="s">
        <v>3146</v>
      </c>
      <c r="I607" t="s">
        <v>3147</v>
      </c>
      <c r="J607" t="s">
        <v>26</v>
      </c>
      <c r="K607" t="s">
        <v>48</v>
      </c>
      <c r="L607" t="b">
        <v>1</v>
      </c>
      <c r="M607" t="s">
        <v>3148</v>
      </c>
      <c r="N607" t="str">
        <f>"822.92"</f>
        <v>822.92</v>
      </c>
      <c r="P607" t="b">
        <v>1</v>
      </c>
      <c r="R607" t="str">
        <f>"9781840024746"</f>
        <v>9781840024746</v>
      </c>
      <c r="S607" t="str">
        <f>"9781849435482"</f>
        <v>9781849435482</v>
      </c>
      <c r="T607">
        <v>928573088</v>
      </c>
    </row>
    <row r="608" spans="1:20" x14ac:dyDescent="0.25">
      <c r="A608">
        <v>1026366</v>
      </c>
      <c r="B608" t="s">
        <v>3149</v>
      </c>
      <c r="D608" t="s">
        <v>131</v>
      </c>
      <c r="E608" t="s">
        <v>669</v>
      </c>
      <c r="F608">
        <v>2012</v>
      </c>
      <c r="G608" t="s">
        <v>1130</v>
      </c>
      <c r="H608" t="s">
        <v>3150</v>
      </c>
      <c r="I608" t="s">
        <v>3151</v>
      </c>
      <c r="J608" t="s">
        <v>26</v>
      </c>
      <c r="K608" t="s">
        <v>48</v>
      </c>
      <c r="L608" t="b">
        <v>1</v>
      </c>
      <c r="M608" t="s">
        <v>3152</v>
      </c>
      <c r="N608" t="str">
        <f>"808.02"</f>
        <v>808.02</v>
      </c>
      <c r="O608" t="s">
        <v>3153</v>
      </c>
      <c r="P608" t="b">
        <v>1</v>
      </c>
      <c r="R608" t="str">
        <f>"9781840028652"</f>
        <v>9781840028652</v>
      </c>
      <c r="S608" t="str">
        <f>"9781849433433"</f>
        <v>9781849433433</v>
      </c>
      <c r="T608">
        <v>818786689</v>
      </c>
    </row>
    <row r="609" spans="1:20" x14ac:dyDescent="0.25">
      <c r="A609">
        <v>1026365</v>
      </c>
      <c r="B609" t="s">
        <v>3154</v>
      </c>
      <c r="D609" t="s">
        <v>131</v>
      </c>
      <c r="E609" t="s">
        <v>669</v>
      </c>
      <c r="F609">
        <v>2005</v>
      </c>
      <c r="G609" t="s">
        <v>1130</v>
      </c>
      <c r="H609" t="s">
        <v>3155</v>
      </c>
      <c r="I609" t="s">
        <v>2899</v>
      </c>
      <c r="J609" t="s">
        <v>26</v>
      </c>
      <c r="K609" t="s">
        <v>48</v>
      </c>
      <c r="L609" t="b">
        <v>1</v>
      </c>
      <c r="M609" t="s">
        <v>2892</v>
      </c>
      <c r="N609" t="str">
        <f>"822/.914"</f>
        <v>822/.914</v>
      </c>
      <c r="O609" t="s">
        <v>764</v>
      </c>
      <c r="P609" t="b">
        <v>1</v>
      </c>
      <c r="R609" t="str">
        <f>"9781840025699"</f>
        <v>9781840025699</v>
      </c>
      <c r="S609" t="str">
        <f>"9781849436533"</f>
        <v>9781849436533</v>
      </c>
      <c r="T609">
        <v>946038469</v>
      </c>
    </row>
    <row r="610" spans="1:20" x14ac:dyDescent="0.25">
      <c r="A610">
        <v>1026362</v>
      </c>
      <c r="B610" t="s">
        <v>3156</v>
      </c>
      <c r="D610" t="s">
        <v>131</v>
      </c>
      <c r="E610" t="s">
        <v>669</v>
      </c>
      <c r="F610">
        <v>2011</v>
      </c>
      <c r="G610" t="s">
        <v>1130</v>
      </c>
      <c r="H610" t="s">
        <v>3157</v>
      </c>
      <c r="J610" t="s">
        <v>26</v>
      </c>
      <c r="K610" t="s">
        <v>48</v>
      </c>
      <c r="L610" t="b">
        <v>1</v>
      </c>
      <c r="M610" t="s">
        <v>3158</v>
      </c>
      <c r="N610" t="str">
        <f>"822.92"</f>
        <v>822.92</v>
      </c>
      <c r="O610" t="s">
        <v>912</v>
      </c>
      <c r="P610" t="b">
        <v>1</v>
      </c>
      <c r="R610" t="str">
        <f>"9781849430760"</f>
        <v>9781849430760</v>
      </c>
      <c r="S610" t="str">
        <f>"9781849433037"</f>
        <v>9781849433037</v>
      </c>
      <c r="T610">
        <v>903910629</v>
      </c>
    </row>
    <row r="611" spans="1:20" x14ac:dyDescent="0.25">
      <c r="A611">
        <v>1026360</v>
      </c>
      <c r="B611" t="s">
        <v>3159</v>
      </c>
      <c r="D611" t="s">
        <v>131</v>
      </c>
      <c r="E611" t="s">
        <v>669</v>
      </c>
      <c r="F611">
        <v>2012</v>
      </c>
      <c r="G611" t="s">
        <v>1130</v>
      </c>
      <c r="H611" t="s">
        <v>3160</v>
      </c>
      <c r="I611" t="s">
        <v>3004</v>
      </c>
      <c r="J611" t="s">
        <v>26</v>
      </c>
      <c r="K611" t="s">
        <v>48</v>
      </c>
      <c r="L611" t="b">
        <v>1</v>
      </c>
      <c r="M611" t="s">
        <v>3161</v>
      </c>
      <c r="N611" t="str">
        <f>"822.92"</f>
        <v>822.92</v>
      </c>
      <c r="O611" t="s">
        <v>912</v>
      </c>
      <c r="P611" t="b">
        <v>1</v>
      </c>
      <c r="R611" t="str">
        <f>"9781849431293"</f>
        <v>9781849431293</v>
      </c>
      <c r="S611" t="str">
        <f>"9781849433822"</f>
        <v>9781849433822</v>
      </c>
      <c r="T611">
        <v>870600953</v>
      </c>
    </row>
    <row r="612" spans="1:20" x14ac:dyDescent="0.25">
      <c r="A612">
        <v>1026357</v>
      </c>
      <c r="B612" t="s">
        <v>3162</v>
      </c>
      <c r="D612" t="s">
        <v>131</v>
      </c>
      <c r="E612" t="s">
        <v>669</v>
      </c>
      <c r="F612">
        <v>2011</v>
      </c>
      <c r="G612" t="s">
        <v>1130</v>
      </c>
      <c r="H612" t="s">
        <v>3163</v>
      </c>
      <c r="I612" t="s">
        <v>1312</v>
      </c>
      <c r="J612" t="s">
        <v>26</v>
      </c>
      <c r="K612" t="s">
        <v>48</v>
      </c>
      <c r="L612" t="b">
        <v>1</v>
      </c>
      <c r="M612" t="s">
        <v>3164</v>
      </c>
      <c r="N612" t="str">
        <f>"842.5"</f>
        <v>842.5</v>
      </c>
      <c r="O612" t="s">
        <v>970</v>
      </c>
      <c r="P612" t="b">
        <v>1</v>
      </c>
      <c r="R612" t="str">
        <f>"9781849431835"</f>
        <v>9781849431835</v>
      </c>
      <c r="S612" t="str">
        <f>"9781849437110"</f>
        <v>9781849437110</v>
      </c>
      <c r="T612">
        <v>903910694</v>
      </c>
    </row>
    <row r="613" spans="1:20" x14ac:dyDescent="0.25">
      <c r="A613">
        <v>1026354</v>
      </c>
      <c r="B613" t="s">
        <v>3165</v>
      </c>
      <c r="D613" t="s">
        <v>131</v>
      </c>
      <c r="E613" t="s">
        <v>669</v>
      </c>
      <c r="F613">
        <v>2012</v>
      </c>
      <c r="G613" t="s">
        <v>1130</v>
      </c>
      <c r="H613" t="s">
        <v>3166</v>
      </c>
      <c r="I613" t="s">
        <v>3167</v>
      </c>
      <c r="J613" t="s">
        <v>26</v>
      </c>
      <c r="K613" t="s">
        <v>48</v>
      </c>
      <c r="L613" t="b">
        <v>1</v>
      </c>
      <c r="M613" t="s">
        <v>2821</v>
      </c>
      <c r="N613" t="str">
        <f>"822.92"</f>
        <v>822.92</v>
      </c>
      <c r="O613" t="s">
        <v>912</v>
      </c>
      <c r="P613" t="b">
        <v>1</v>
      </c>
      <c r="R613" t="str">
        <f>"9781840028782"</f>
        <v>9781840028782</v>
      </c>
      <c r="S613" t="str">
        <f>"9781849435680"</f>
        <v>9781849435680</v>
      </c>
      <c r="T613">
        <v>974260787</v>
      </c>
    </row>
    <row r="614" spans="1:20" x14ac:dyDescent="0.25">
      <c r="A614">
        <v>1026353</v>
      </c>
      <c r="B614" t="s">
        <v>3168</v>
      </c>
      <c r="D614" t="s">
        <v>131</v>
      </c>
      <c r="E614" t="s">
        <v>669</v>
      </c>
      <c r="F614">
        <v>2011</v>
      </c>
      <c r="G614" t="s">
        <v>1130</v>
      </c>
      <c r="H614" t="s">
        <v>3169</v>
      </c>
      <c r="J614" t="s">
        <v>26</v>
      </c>
      <c r="K614" t="s">
        <v>48</v>
      </c>
      <c r="L614" t="b">
        <v>1</v>
      </c>
      <c r="M614" t="s">
        <v>3119</v>
      </c>
      <c r="N614" t="str">
        <f>"822.914"</f>
        <v>822.914</v>
      </c>
      <c r="O614" t="s">
        <v>912</v>
      </c>
      <c r="P614" t="b">
        <v>1</v>
      </c>
      <c r="R614" t="str">
        <f>"9781849430562"</f>
        <v>9781849430562</v>
      </c>
      <c r="S614" t="str">
        <f>"9781849436939"</f>
        <v>9781849436939</v>
      </c>
      <c r="T614">
        <v>904207989</v>
      </c>
    </row>
    <row r="615" spans="1:20" x14ac:dyDescent="0.25">
      <c r="A615">
        <v>1026350</v>
      </c>
      <c r="B615" t="s">
        <v>3170</v>
      </c>
      <c r="D615" t="s">
        <v>131</v>
      </c>
      <c r="E615" t="s">
        <v>669</v>
      </c>
      <c r="F615">
        <v>2012</v>
      </c>
      <c r="G615" t="s">
        <v>1130</v>
      </c>
      <c r="H615" t="s">
        <v>3171</v>
      </c>
      <c r="J615" t="s">
        <v>26</v>
      </c>
      <c r="K615" t="s">
        <v>48</v>
      </c>
      <c r="L615" t="b">
        <v>1</v>
      </c>
      <c r="M615" t="s">
        <v>3172</v>
      </c>
      <c r="N615" t="str">
        <f>"822.914"</f>
        <v>822.914</v>
      </c>
      <c r="O615" t="s">
        <v>912</v>
      </c>
      <c r="P615" t="b">
        <v>1</v>
      </c>
      <c r="R615" t="str">
        <f>"9781849434966"</f>
        <v>9781849434966</v>
      </c>
      <c r="S615" t="str">
        <f>"9781849436151"</f>
        <v>9781849436151</v>
      </c>
      <c r="T615">
        <v>903055029</v>
      </c>
    </row>
    <row r="616" spans="1:20" x14ac:dyDescent="0.25">
      <c r="A616">
        <v>1026346</v>
      </c>
      <c r="B616" t="s">
        <v>3173</v>
      </c>
      <c r="D616" t="s">
        <v>131</v>
      </c>
      <c r="E616" t="s">
        <v>669</v>
      </c>
      <c r="F616">
        <v>2012</v>
      </c>
      <c r="G616" t="s">
        <v>1130</v>
      </c>
      <c r="H616" t="s">
        <v>3174</v>
      </c>
      <c r="I616" t="s">
        <v>3175</v>
      </c>
      <c r="J616" t="s">
        <v>26</v>
      </c>
      <c r="K616" t="s">
        <v>48</v>
      </c>
      <c r="L616" t="b">
        <v>1</v>
      </c>
      <c r="M616" t="s">
        <v>3176</v>
      </c>
      <c r="N616" t="str">
        <f>"822.92"</f>
        <v>822.92</v>
      </c>
      <c r="O616" t="s">
        <v>912</v>
      </c>
      <c r="P616" t="b">
        <v>1</v>
      </c>
      <c r="R616" t="str">
        <f>"9781849434850"</f>
        <v>9781849434850</v>
      </c>
      <c r="S616" t="str">
        <f>"9781849435567"</f>
        <v>9781849435567</v>
      </c>
      <c r="T616">
        <v>965743736</v>
      </c>
    </row>
    <row r="617" spans="1:20" x14ac:dyDescent="0.25">
      <c r="A617">
        <v>1026342</v>
      </c>
      <c r="B617" t="s">
        <v>3177</v>
      </c>
      <c r="D617" t="s">
        <v>131</v>
      </c>
      <c r="E617" t="s">
        <v>669</v>
      </c>
      <c r="F617">
        <v>2012</v>
      </c>
      <c r="G617" t="s">
        <v>1130</v>
      </c>
      <c r="H617" t="s">
        <v>2827</v>
      </c>
      <c r="I617" t="s">
        <v>3178</v>
      </c>
      <c r="J617" t="s">
        <v>26</v>
      </c>
      <c r="K617" t="s">
        <v>48</v>
      </c>
      <c r="L617" t="b">
        <v>1</v>
      </c>
      <c r="M617" t="s">
        <v>3179</v>
      </c>
      <c r="N617" t="str">
        <f>"822.92"</f>
        <v>822.92</v>
      </c>
      <c r="P617" t="b">
        <v>1</v>
      </c>
      <c r="R617" t="str">
        <f>"9781840024159"</f>
        <v>9781840024159</v>
      </c>
      <c r="S617" t="str">
        <f>"9781849431415"</f>
        <v>9781849431415</v>
      </c>
      <c r="T617">
        <v>870600837</v>
      </c>
    </row>
    <row r="618" spans="1:20" x14ac:dyDescent="0.25">
      <c r="A618">
        <v>1026340</v>
      </c>
      <c r="B618" t="s">
        <v>3180</v>
      </c>
      <c r="D618" t="s">
        <v>131</v>
      </c>
      <c r="E618" t="s">
        <v>669</v>
      </c>
      <c r="F618">
        <v>2012</v>
      </c>
      <c r="G618" t="s">
        <v>3181</v>
      </c>
      <c r="H618" t="s">
        <v>3182</v>
      </c>
      <c r="I618" t="s">
        <v>3183</v>
      </c>
      <c r="J618" t="s">
        <v>26</v>
      </c>
      <c r="K618" t="s">
        <v>48</v>
      </c>
      <c r="L618" t="b">
        <v>1</v>
      </c>
      <c r="M618" t="s">
        <v>3184</v>
      </c>
      <c r="N618" t="str">
        <f>"200"</f>
        <v>200</v>
      </c>
      <c r="P618" t="b">
        <v>0</v>
      </c>
      <c r="R618" t="str">
        <f>"9781840029628"</f>
        <v>9781840029628</v>
      </c>
      <c r="S618" t="str">
        <f>"9781849433600"</f>
        <v>9781849433600</v>
      </c>
      <c r="T618">
        <v>870601078</v>
      </c>
    </row>
    <row r="619" spans="1:20" x14ac:dyDescent="0.25">
      <c r="A619">
        <v>1026339</v>
      </c>
      <c r="B619" t="s">
        <v>3185</v>
      </c>
      <c r="D619" t="s">
        <v>131</v>
      </c>
      <c r="E619" t="s">
        <v>669</v>
      </c>
      <c r="F619">
        <v>2011</v>
      </c>
      <c r="G619" t="s">
        <v>1130</v>
      </c>
      <c r="H619" t="s">
        <v>3186</v>
      </c>
      <c r="I619" t="s">
        <v>3187</v>
      </c>
      <c r="J619" t="s">
        <v>26</v>
      </c>
      <c r="K619" t="s">
        <v>48</v>
      </c>
      <c r="L619" t="b">
        <v>1</v>
      </c>
      <c r="M619" t="s">
        <v>2876</v>
      </c>
      <c r="N619" t="str">
        <f>"822/.92"</f>
        <v>822/.92</v>
      </c>
      <c r="O619" t="s">
        <v>2855</v>
      </c>
      <c r="P619" t="b">
        <v>1</v>
      </c>
      <c r="R619" t="str">
        <f>"9781849432245"</f>
        <v>9781849432245</v>
      </c>
      <c r="S619" t="str">
        <f>"9781849436922"</f>
        <v>9781849436922</v>
      </c>
      <c r="T619">
        <v>904207988</v>
      </c>
    </row>
    <row r="620" spans="1:20" x14ac:dyDescent="0.25">
      <c r="A620">
        <v>1026338</v>
      </c>
      <c r="B620" t="s">
        <v>3188</v>
      </c>
      <c r="C620" t="s">
        <v>3189</v>
      </c>
      <c r="D620" t="s">
        <v>131</v>
      </c>
      <c r="E620" t="s">
        <v>669</v>
      </c>
      <c r="F620">
        <v>2011</v>
      </c>
      <c r="G620" t="s">
        <v>3190</v>
      </c>
      <c r="H620" t="s">
        <v>3191</v>
      </c>
      <c r="I620" t="s">
        <v>3192</v>
      </c>
      <c r="J620" t="s">
        <v>26</v>
      </c>
      <c r="K620" t="s">
        <v>48</v>
      </c>
      <c r="L620" t="b">
        <v>1</v>
      </c>
      <c r="M620" t="s">
        <v>3193</v>
      </c>
      <c r="N620" t="str">
        <f>"781.556"</f>
        <v>781.556</v>
      </c>
      <c r="P620" t="b">
        <v>0</v>
      </c>
      <c r="R620" t="str">
        <f>"9781849431071"</f>
        <v>9781849431071</v>
      </c>
      <c r="S620" t="str">
        <f>"9781849433273"</f>
        <v>9781849433273</v>
      </c>
      <c r="T620">
        <v>904207922</v>
      </c>
    </row>
    <row r="621" spans="1:20" x14ac:dyDescent="0.25">
      <c r="A621">
        <v>1026330</v>
      </c>
      <c r="B621" t="s">
        <v>3194</v>
      </c>
      <c r="D621" t="s">
        <v>131</v>
      </c>
      <c r="E621" t="s">
        <v>669</v>
      </c>
      <c r="F621">
        <v>2012</v>
      </c>
      <c r="G621" t="s">
        <v>1130</v>
      </c>
      <c r="H621" t="s">
        <v>2827</v>
      </c>
      <c r="I621" t="s">
        <v>3195</v>
      </c>
      <c r="J621" t="s">
        <v>26</v>
      </c>
      <c r="K621" t="s">
        <v>48</v>
      </c>
      <c r="L621" t="b">
        <v>1</v>
      </c>
      <c r="M621" t="s">
        <v>3179</v>
      </c>
      <c r="N621" t="str">
        <f>"822/.914"</f>
        <v>822/.914</v>
      </c>
      <c r="P621" t="b">
        <v>1</v>
      </c>
      <c r="R621" t="str">
        <f>"9781840021707"</f>
        <v>9781840021707</v>
      </c>
      <c r="S621" t="str">
        <f>"9781849432047"</f>
        <v>9781849432047</v>
      </c>
      <c r="T621">
        <v>870601038</v>
      </c>
    </row>
    <row r="622" spans="1:20" x14ac:dyDescent="0.25">
      <c r="A622">
        <v>1026329</v>
      </c>
      <c r="B622" t="s">
        <v>3196</v>
      </c>
      <c r="D622" t="s">
        <v>131</v>
      </c>
      <c r="E622" t="s">
        <v>669</v>
      </c>
      <c r="F622">
        <v>2012</v>
      </c>
      <c r="G622" t="s">
        <v>1130</v>
      </c>
      <c r="H622" t="s">
        <v>3197</v>
      </c>
      <c r="I622" t="s">
        <v>3198</v>
      </c>
      <c r="J622" t="s">
        <v>26</v>
      </c>
      <c r="K622" t="s">
        <v>48</v>
      </c>
      <c r="L622" t="b">
        <v>1</v>
      </c>
      <c r="M622" t="s">
        <v>2850</v>
      </c>
      <c r="N622" t="str">
        <f>"822.92"</f>
        <v>822.92</v>
      </c>
      <c r="O622" t="s">
        <v>912</v>
      </c>
      <c r="P622" t="b">
        <v>1</v>
      </c>
      <c r="R622" t="str">
        <f>"9781849432146"</f>
        <v>9781849432146</v>
      </c>
      <c r="S622" t="str">
        <f>"9781849435925"</f>
        <v>9781849435925</v>
      </c>
      <c r="T622">
        <v>974252386</v>
      </c>
    </row>
    <row r="623" spans="1:20" x14ac:dyDescent="0.25">
      <c r="A623">
        <v>1026321</v>
      </c>
      <c r="B623" t="s">
        <v>1129</v>
      </c>
      <c r="D623" t="s">
        <v>131</v>
      </c>
      <c r="E623" t="s">
        <v>669</v>
      </c>
      <c r="F623">
        <v>2005</v>
      </c>
      <c r="G623" t="s">
        <v>1130</v>
      </c>
      <c r="H623" t="s">
        <v>3199</v>
      </c>
      <c r="J623" t="s">
        <v>26</v>
      </c>
      <c r="K623" t="s">
        <v>48</v>
      </c>
      <c r="L623" t="b">
        <v>1</v>
      </c>
      <c r="M623" t="s">
        <v>3200</v>
      </c>
      <c r="N623" t="str">
        <f>"822/.92"</f>
        <v>822/.92</v>
      </c>
      <c r="O623" t="s">
        <v>970</v>
      </c>
      <c r="P623" t="b">
        <v>1</v>
      </c>
      <c r="R623" t="str">
        <f>"9781840025798"</f>
        <v>9781840025798</v>
      </c>
      <c r="S623" t="str">
        <f>"9781849435666"</f>
        <v>9781849435666</v>
      </c>
      <c r="T623">
        <v>607709678</v>
      </c>
    </row>
    <row r="624" spans="1:20" x14ac:dyDescent="0.25">
      <c r="A624">
        <v>1026319</v>
      </c>
      <c r="B624" t="s">
        <v>3201</v>
      </c>
      <c r="D624" t="s">
        <v>131</v>
      </c>
      <c r="E624" t="s">
        <v>669</v>
      </c>
      <c r="F624">
        <v>2011</v>
      </c>
      <c r="G624" t="s">
        <v>1130</v>
      </c>
      <c r="H624" t="s">
        <v>3202</v>
      </c>
      <c r="I624" t="s">
        <v>3203</v>
      </c>
      <c r="J624" t="s">
        <v>26</v>
      </c>
      <c r="K624" t="s">
        <v>48</v>
      </c>
      <c r="L624" t="b">
        <v>1</v>
      </c>
      <c r="M624" t="s">
        <v>3204</v>
      </c>
      <c r="N624" t="str">
        <f>"862.64"</f>
        <v>862.64</v>
      </c>
      <c r="O624" t="s">
        <v>912</v>
      </c>
      <c r="P624" t="b">
        <v>1</v>
      </c>
      <c r="R624" t="str">
        <f>"9781849431477"</f>
        <v>9781849431477</v>
      </c>
      <c r="S624" t="str">
        <f>"9781849436465"</f>
        <v>9781849436465</v>
      </c>
      <c r="T624">
        <v>903910682</v>
      </c>
    </row>
    <row r="625" spans="1:20" x14ac:dyDescent="0.25">
      <c r="A625">
        <v>1026315</v>
      </c>
      <c r="B625" t="s">
        <v>3205</v>
      </c>
      <c r="D625" t="s">
        <v>131</v>
      </c>
      <c r="E625" t="s">
        <v>669</v>
      </c>
      <c r="F625">
        <v>2012</v>
      </c>
      <c r="G625" t="s">
        <v>1130</v>
      </c>
      <c r="H625" t="s">
        <v>3206</v>
      </c>
      <c r="I625" t="s">
        <v>3207</v>
      </c>
      <c r="J625" t="s">
        <v>26</v>
      </c>
      <c r="K625" t="s">
        <v>48</v>
      </c>
      <c r="L625" t="b">
        <v>1</v>
      </c>
      <c r="M625" t="s">
        <v>3208</v>
      </c>
      <c r="N625" t="str">
        <f>"822.92"</f>
        <v>822.92</v>
      </c>
      <c r="P625" t="b">
        <v>1</v>
      </c>
      <c r="R625" t="str">
        <f>"9781840025804"</f>
        <v>9781840025804</v>
      </c>
      <c r="S625" t="str">
        <f>"9781849431743"</f>
        <v>9781849431743</v>
      </c>
      <c r="T625">
        <v>870601073</v>
      </c>
    </row>
    <row r="626" spans="1:20" x14ac:dyDescent="0.25">
      <c r="A626">
        <v>1026314</v>
      </c>
      <c r="B626" t="s">
        <v>3209</v>
      </c>
      <c r="C626" t="s">
        <v>3210</v>
      </c>
      <c r="D626" t="s">
        <v>131</v>
      </c>
      <c r="E626" t="s">
        <v>669</v>
      </c>
      <c r="F626">
        <v>2012</v>
      </c>
      <c r="G626" t="s">
        <v>1130</v>
      </c>
      <c r="H626" t="s">
        <v>3211</v>
      </c>
      <c r="I626" t="s">
        <v>3212</v>
      </c>
      <c r="J626" t="s">
        <v>26</v>
      </c>
      <c r="K626" t="s">
        <v>48</v>
      </c>
      <c r="L626" t="b">
        <v>1</v>
      </c>
      <c r="M626" t="s">
        <v>3213</v>
      </c>
      <c r="N626" t="str">
        <f>"812.008097292"</f>
        <v>812.008097292</v>
      </c>
      <c r="P626" t="b">
        <v>1</v>
      </c>
      <c r="R626" t="str">
        <f>"9781849432160"</f>
        <v>9781849432160</v>
      </c>
      <c r="S626" t="str">
        <f>"9781849436342"</f>
        <v>9781849436342</v>
      </c>
      <c r="T626">
        <v>818864934</v>
      </c>
    </row>
    <row r="627" spans="1:20" x14ac:dyDescent="0.25">
      <c r="A627">
        <v>1026307</v>
      </c>
      <c r="B627" t="s">
        <v>3214</v>
      </c>
      <c r="D627" t="s">
        <v>131</v>
      </c>
      <c r="E627" t="s">
        <v>669</v>
      </c>
      <c r="F627">
        <v>2011</v>
      </c>
      <c r="G627" t="s">
        <v>1130</v>
      </c>
      <c r="H627" t="s">
        <v>3215</v>
      </c>
      <c r="I627" t="s">
        <v>3216</v>
      </c>
      <c r="J627" t="s">
        <v>26</v>
      </c>
      <c r="K627" t="s">
        <v>48</v>
      </c>
      <c r="L627" t="b">
        <v>1</v>
      </c>
      <c r="M627" t="s">
        <v>3217</v>
      </c>
      <c r="N627" t="str">
        <f>"822.92"</f>
        <v>822.92</v>
      </c>
      <c r="O627" t="s">
        <v>912</v>
      </c>
      <c r="P627" t="b">
        <v>1</v>
      </c>
      <c r="R627" t="str">
        <f>"9781849432252"</f>
        <v>9781849432252</v>
      </c>
      <c r="S627" t="str">
        <f>"9781849433334"</f>
        <v>9781849433334</v>
      </c>
      <c r="T627">
        <v>904207717</v>
      </c>
    </row>
    <row r="628" spans="1:20" x14ac:dyDescent="0.25">
      <c r="A628">
        <v>1026303</v>
      </c>
      <c r="B628" t="s">
        <v>3218</v>
      </c>
      <c r="D628" t="s">
        <v>131</v>
      </c>
      <c r="E628" t="s">
        <v>669</v>
      </c>
      <c r="F628">
        <v>2012</v>
      </c>
      <c r="G628" t="s">
        <v>1130</v>
      </c>
      <c r="H628" t="s">
        <v>3219</v>
      </c>
      <c r="I628" t="s">
        <v>3220</v>
      </c>
      <c r="J628" t="s">
        <v>26</v>
      </c>
      <c r="K628" t="s">
        <v>48</v>
      </c>
      <c r="L628" t="b">
        <v>1</v>
      </c>
      <c r="M628" t="s">
        <v>3221</v>
      </c>
      <c r="N628" t="str">
        <f>"891.852"</f>
        <v>891.852</v>
      </c>
      <c r="O628" t="s">
        <v>912</v>
      </c>
      <c r="P628" t="b">
        <v>1</v>
      </c>
      <c r="R628" t="str">
        <f>"9781840029468"</f>
        <v>9781840029468</v>
      </c>
      <c r="S628" t="str">
        <f>"9781849435802"</f>
        <v>9781849435802</v>
      </c>
      <c r="T628">
        <v>870600973</v>
      </c>
    </row>
    <row r="629" spans="1:20" x14ac:dyDescent="0.25">
      <c r="A629">
        <v>1026298</v>
      </c>
      <c r="B629" t="s">
        <v>3222</v>
      </c>
      <c r="C629" t="s">
        <v>3223</v>
      </c>
      <c r="D629" t="s">
        <v>131</v>
      </c>
      <c r="E629" t="s">
        <v>669</v>
      </c>
      <c r="F629">
        <v>2012</v>
      </c>
      <c r="G629" t="s">
        <v>1130</v>
      </c>
      <c r="H629" t="s">
        <v>3224</v>
      </c>
      <c r="I629" t="s">
        <v>1257</v>
      </c>
      <c r="J629" t="s">
        <v>26</v>
      </c>
      <c r="K629" t="s">
        <v>48</v>
      </c>
      <c r="L629" t="b">
        <v>1</v>
      </c>
      <c r="M629" t="s">
        <v>3119</v>
      </c>
      <c r="N629" t="str">
        <f>"822/.914"</f>
        <v>822/.914</v>
      </c>
      <c r="O629" t="s">
        <v>764</v>
      </c>
      <c r="P629" t="b">
        <v>1</v>
      </c>
      <c r="R629" t="str">
        <f>"9781849433853"</f>
        <v>9781849433853</v>
      </c>
      <c r="S629" t="str">
        <f>"9781849436328"</f>
        <v>9781849436328</v>
      </c>
      <c r="T629">
        <v>818796012</v>
      </c>
    </row>
    <row r="630" spans="1:20" x14ac:dyDescent="0.25">
      <c r="A630">
        <v>1026294</v>
      </c>
      <c r="B630" t="s">
        <v>3225</v>
      </c>
      <c r="D630" t="s">
        <v>131</v>
      </c>
      <c r="E630" t="s">
        <v>669</v>
      </c>
      <c r="F630">
        <v>2013</v>
      </c>
      <c r="G630" t="s">
        <v>1130</v>
      </c>
      <c r="H630" t="s">
        <v>3226</v>
      </c>
      <c r="I630" t="s">
        <v>3227</v>
      </c>
      <c r="J630" t="s">
        <v>26</v>
      </c>
      <c r="K630" t="s">
        <v>48</v>
      </c>
      <c r="L630" t="b">
        <v>1</v>
      </c>
      <c r="M630" t="s">
        <v>3228</v>
      </c>
      <c r="N630" t="str">
        <f>"842/.8"</f>
        <v>842/.8</v>
      </c>
      <c r="O630" t="s">
        <v>1314</v>
      </c>
      <c r="P630" t="b">
        <v>1</v>
      </c>
      <c r="R630" t="str">
        <f>"9780948230134"</f>
        <v>9780948230134</v>
      </c>
      <c r="S630" t="str">
        <f>"9781783193943"</f>
        <v>9781783193943</v>
      </c>
      <c r="T630">
        <v>950739078</v>
      </c>
    </row>
    <row r="631" spans="1:20" x14ac:dyDescent="0.25">
      <c r="A631">
        <v>1026277</v>
      </c>
      <c r="B631" t="s">
        <v>3229</v>
      </c>
      <c r="D631" t="s">
        <v>131</v>
      </c>
      <c r="E631" t="s">
        <v>669</v>
      </c>
      <c r="F631">
        <v>2013</v>
      </c>
      <c r="G631" t="s">
        <v>1130</v>
      </c>
      <c r="H631" t="s">
        <v>3230</v>
      </c>
      <c r="I631" t="s">
        <v>3231</v>
      </c>
      <c r="J631" t="s">
        <v>26</v>
      </c>
      <c r="K631" t="s">
        <v>48</v>
      </c>
      <c r="L631" t="b">
        <v>1</v>
      </c>
      <c r="M631" t="s">
        <v>3232</v>
      </c>
      <c r="N631" t="str">
        <f>"808.8245089287"</f>
        <v>808.8245089287</v>
      </c>
      <c r="O631" t="s">
        <v>3233</v>
      </c>
      <c r="P631" t="b">
        <v>1</v>
      </c>
      <c r="R631" t="str">
        <f>"9781849434522"</f>
        <v>9781849434522</v>
      </c>
      <c r="S631" t="str">
        <f>"9781849436212"</f>
        <v>9781849436212</v>
      </c>
      <c r="T631">
        <v>888090646</v>
      </c>
    </row>
    <row r="632" spans="1:20" x14ac:dyDescent="0.25">
      <c r="A632">
        <v>1026263</v>
      </c>
      <c r="B632" t="s">
        <v>3234</v>
      </c>
      <c r="D632" t="s">
        <v>131</v>
      </c>
      <c r="E632" t="s">
        <v>669</v>
      </c>
      <c r="F632">
        <v>2012</v>
      </c>
      <c r="G632" t="s">
        <v>1130</v>
      </c>
      <c r="H632" t="s">
        <v>3235</v>
      </c>
      <c r="I632" t="s">
        <v>910</v>
      </c>
      <c r="J632" t="s">
        <v>26</v>
      </c>
      <c r="K632" t="s">
        <v>48</v>
      </c>
      <c r="L632" t="b">
        <v>1</v>
      </c>
      <c r="M632" t="s">
        <v>3236</v>
      </c>
      <c r="N632" t="str">
        <f>"822.914"</f>
        <v>822.914</v>
      </c>
      <c r="P632" t="b">
        <v>1</v>
      </c>
      <c r="R632" t="str">
        <f>"9781849434096"</f>
        <v>9781849434096</v>
      </c>
      <c r="S632" t="str">
        <f>"9781849436809"</f>
        <v>9781849436809</v>
      </c>
      <c r="T632">
        <v>902989102</v>
      </c>
    </row>
    <row r="633" spans="1:20" x14ac:dyDescent="0.25">
      <c r="A633">
        <v>1026257</v>
      </c>
      <c r="B633" t="s">
        <v>3237</v>
      </c>
      <c r="D633" t="s">
        <v>131</v>
      </c>
      <c r="E633" t="s">
        <v>669</v>
      </c>
      <c r="F633">
        <v>2012</v>
      </c>
      <c r="G633" t="s">
        <v>1130</v>
      </c>
      <c r="H633" t="s">
        <v>3238</v>
      </c>
      <c r="I633" t="s">
        <v>910</v>
      </c>
      <c r="J633" t="s">
        <v>26</v>
      </c>
      <c r="K633" t="s">
        <v>48</v>
      </c>
      <c r="L633" t="b">
        <v>1</v>
      </c>
      <c r="M633" t="s">
        <v>1267</v>
      </c>
      <c r="N633" t="str">
        <f>"822.914"</f>
        <v>822.914</v>
      </c>
      <c r="O633" t="s">
        <v>912</v>
      </c>
      <c r="P633" t="b">
        <v>1</v>
      </c>
      <c r="R633" t="str">
        <f>"9781840025712"</f>
        <v>9781840025712</v>
      </c>
      <c r="S633" t="str">
        <f>"9781849433808"</f>
        <v>9781849433808</v>
      </c>
      <c r="T633">
        <v>870600752</v>
      </c>
    </row>
    <row r="634" spans="1:20" x14ac:dyDescent="0.25">
      <c r="A634">
        <v>1026247</v>
      </c>
      <c r="B634" t="s">
        <v>3239</v>
      </c>
      <c r="D634" t="s">
        <v>131</v>
      </c>
      <c r="E634" t="s">
        <v>669</v>
      </c>
      <c r="F634">
        <v>2012</v>
      </c>
      <c r="G634" t="s">
        <v>1130</v>
      </c>
      <c r="H634" t="s">
        <v>3240</v>
      </c>
      <c r="I634" t="s">
        <v>1069</v>
      </c>
      <c r="J634" t="s">
        <v>26</v>
      </c>
      <c r="K634" t="s">
        <v>48</v>
      </c>
      <c r="L634" t="b">
        <v>1</v>
      </c>
      <c r="M634" t="s">
        <v>3241</v>
      </c>
      <c r="N634" t="str">
        <f>"822.914"</f>
        <v>822.914</v>
      </c>
      <c r="O634" t="s">
        <v>764</v>
      </c>
      <c r="P634" t="b">
        <v>1</v>
      </c>
      <c r="R634" t="str">
        <f>"9781840022797"</f>
        <v>9781840022797</v>
      </c>
      <c r="S634" t="str">
        <f>"9781849438223"</f>
        <v>9781849438223</v>
      </c>
      <c r="T634">
        <v>607445286</v>
      </c>
    </row>
    <row r="635" spans="1:20" x14ac:dyDescent="0.25">
      <c r="A635">
        <v>1026243</v>
      </c>
      <c r="B635" t="s">
        <v>3242</v>
      </c>
      <c r="C635" t="s">
        <v>3243</v>
      </c>
      <c r="D635" t="s">
        <v>131</v>
      </c>
      <c r="E635" t="s">
        <v>669</v>
      </c>
      <c r="F635">
        <v>2012</v>
      </c>
      <c r="G635" t="s">
        <v>1130</v>
      </c>
      <c r="H635" t="s">
        <v>3244</v>
      </c>
      <c r="J635" t="s">
        <v>26</v>
      </c>
      <c r="K635" t="s">
        <v>48</v>
      </c>
      <c r="L635" t="b">
        <v>1</v>
      </c>
      <c r="M635" t="s">
        <v>3245</v>
      </c>
      <c r="N635" t="str">
        <f>"822.92"</f>
        <v>822.92</v>
      </c>
      <c r="O635" t="s">
        <v>912</v>
      </c>
      <c r="P635" t="b">
        <v>1</v>
      </c>
      <c r="R635" t="str">
        <f>"9781849434195"</f>
        <v>9781849434195</v>
      </c>
      <c r="S635" t="str">
        <f>"9781849435437"</f>
        <v>9781849435437</v>
      </c>
      <c r="T635">
        <v>895727892</v>
      </c>
    </row>
    <row r="636" spans="1:20" x14ac:dyDescent="0.25">
      <c r="A636">
        <v>1026239</v>
      </c>
      <c r="B636" t="s">
        <v>3246</v>
      </c>
      <c r="D636" t="s">
        <v>131</v>
      </c>
      <c r="E636" t="s">
        <v>669</v>
      </c>
      <c r="F636">
        <v>2012</v>
      </c>
      <c r="G636" t="s">
        <v>1130</v>
      </c>
      <c r="H636" t="s">
        <v>3247</v>
      </c>
      <c r="I636" t="s">
        <v>3248</v>
      </c>
      <c r="J636" t="s">
        <v>26</v>
      </c>
      <c r="K636" t="s">
        <v>48</v>
      </c>
      <c r="L636" t="b">
        <v>1</v>
      </c>
      <c r="M636" t="s">
        <v>3249</v>
      </c>
      <c r="N636" t="str">
        <f>"822.92"</f>
        <v>822.92</v>
      </c>
      <c r="P636" t="b">
        <v>1</v>
      </c>
      <c r="R636" t="str">
        <f>"9781849430616"</f>
        <v>9781849430616</v>
      </c>
      <c r="S636" t="str">
        <f>"9781849433679"</f>
        <v>9781849433679</v>
      </c>
      <c r="T636">
        <v>870600654</v>
      </c>
    </row>
    <row r="637" spans="1:20" x14ac:dyDescent="0.25">
      <c r="A637">
        <v>1026237</v>
      </c>
      <c r="B637" t="s">
        <v>3250</v>
      </c>
      <c r="D637" t="s">
        <v>131</v>
      </c>
      <c r="E637" t="s">
        <v>669</v>
      </c>
      <c r="F637">
        <v>2013</v>
      </c>
      <c r="G637" t="s">
        <v>1130</v>
      </c>
      <c r="H637" t="s">
        <v>3251</v>
      </c>
      <c r="I637" t="s">
        <v>3252</v>
      </c>
      <c r="J637" t="s">
        <v>26</v>
      </c>
      <c r="K637" t="s">
        <v>48</v>
      </c>
      <c r="L637" t="b">
        <v>1</v>
      </c>
      <c r="M637" t="s">
        <v>3253</v>
      </c>
      <c r="N637" t="str">
        <f>"822.914"</f>
        <v>822.914</v>
      </c>
      <c r="O637" t="s">
        <v>764</v>
      </c>
      <c r="P637" t="b">
        <v>1</v>
      </c>
      <c r="R637" t="str">
        <f>"9781870259682"</f>
        <v>9781870259682</v>
      </c>
      <c r="S637" t="str">
        <f>"9781783193707"</f>
        <v>9781783193707</v>
      </c>
      <c r="T637">
        <v>607374229</v>
      </c>
    </row>
    <row r="638" spans="1:20" x14ac:dyDescent="0.25">
      <c r="A638">
        <v>1026232</v>
      </c>
      <c r="B638" t="s">
        <v>3254</v>
      </c>
      <c r="D638" t="s">
        <v>131</v>
      </c>
      <c r="E638" t="s">
        <v>669</v>
      </c>
      <c r="F638">
        <v>2011</v>
      </c>
      <c r="G638" t="s">
        <v>1130</v>
      </c>
      <c r="H638" t="s">
        <v>3255</v>
      </c>
      <c r="I638" t="s">
        <v>3256</v>
      </c>
      <c r="J638" t="s">
        <v>26</v>
      </c>
      <c r="K638" t="s">
        <v>48</v>
      </c>
      <c r="L638" t="b">
        <v>1</v>
      </c>
      <c r="M638" t="s">
        <v>2821</v>
      </c>
      <c r="N638" t="str">
        <f>"822.92"</f>
        <v>822.92</v>
      </c>
      <c r="O638" t="s">
        <v>912</v>
      </c>
      <c r="P638" t="b">
        <v>1</v>
      </c>
      <c r="R638" t="str">
        <f>"9781849430425"</f>
        <v>9781849430425</v>
      </c>
      <c r="S638" t="str">
        <f>"9781849436007"</f>
        <v>9781849436007</v>
      </c>
      <c r="T638">
        <v>904207943</v>
      </c>
    </row>
    <row r="639" spans="1:20" x14ac:dyDescent="0.25">
      <c r="A639">
        <v>1026222</v>
      </c>
      <c r="B639" t="s">
        <v>3257</v>
      </c>
      <c r="D639" t="s">
        <v>131</v>
      </c>
      <c r="E639" t="s">
        <v>669</v>
      </c>
      <c r="F639">
        <v>2012</v>
      </c>
      <c r="G639" t="s">
        <v>1130</v>
      </c>
      <c r="H639" t="s">
        <v>3258</v>
      </c>
      <c r="I639" t="s">
        <v>3259</v>
      </c>
      <c r="J639" t="s">
        <v>26</v>
      </c>
      <c r="K639" t="s">
        <v>48</v>
      </c>
      <c r="L639" t="b">
        <v>1</v>
      </c>
      <c r="M639" t="s">
        <v>3260</v>
      </c>
      <c r="N639" t="str">
        <f>"822.914"</f>
        <v>822.914</v>
      </c>
      <c r="O639" t="s">
        <v>912</v>
      </c>
      <c r="P639" t="b">
        <v>1</v>
      </c>
      <c r="R639" t="str">
        <f>"9781849431750"</f>
        <v>9781849431750</v>
      </c>
      <c r="S639" t="str">
        <f>"9781849433563"</f>
        <v>9781849433563</v>
      </c>
      <c r="T639">
        <v>895726534</v>
      </c>
    </row>
    <row r="640" spans="1:20" x14ac:dyDescent="0.25">
      <c r="A640">
        <v>1026210</v>
      </c>
      <c r="B640" t="s">
        <v>3261</v>
      </c>
      <c r="D640" t="s">
        <v>131</v>
      </c>
      <c r="E640" t="s">
        <v>669</v>
      </c>
      <c r="F640">
        <v>2013</v>
      </c>
      <c r="G640" t="s">
        <v>1130</v>
      </c>
      <c r="H640" t="s">
        <v>3262</v>
      </c>
      <c r="I640" t="s">
        <v>3263</v>
      </c>
      <c r="J640" t="s">
        <v>26</v>
      </c>
      <c r="K640" t="s">
        <v>48</v>
      </c>
      <c r="L640" t="b">
        <v>1</v>
      </c>
      <c r="M640" t="s">
        <v>3264</v>
      </c>
      <c r="N640" t="str">
        <f>"791.437"</f>
        <v>791.437</v>
      </c>
      <c r="O640" t="s">
        <v>970</v>
      </c>
      <c r="P640" t="b">
        <v>1</v>
      </c>
      <c r="R640" t="str">
        <f>"9781840029871"</f>
        <v>9781840029871</v>
      </c>
      <c r="S640" t="str">
        <f>"9781849439244"</f>
        <v>9781849439244</v>
      </c>
      <c r="T640">
        <v>904275772</v>
      </c>
    </row>
    <row r="641" spans="1:20" x14ac:dyDescent="0.25">
      <c r="A641">
        <v>1026204</v>
      </c>
      <c r="B641" t="s">
        <v>3265</v>
      </c>
      <c r="D641" t="s">
        <v>131</v>
      </c>
      <c r="E641" t="s">
        <v>669</v>
      </c>
      <c r="F641">
        <v>2012</v>
      </c>
      <c r="G641" t="s">
        <v>1130</v>
      </c>
      <c r="H641" t="s">
        <v>3114</v>
      </c>
      <c r="I641" t="s">
        <v>3266</v>
      </c>
      <c r="J641" t="s">
        <v>26</v>
      </c>
      <c r="K641" t="s">
        <v>48</v>
      </c>
      <c r="L641" t="b">
        <v>1</v>
      </c>
      <c r="M641" t="s">
        <v>1267</v>
      </c>
      <c r="N641" t="str">
        <f>"822.92"</f>
        <v>822.92</v>
      </c>
      <c r="P641" t="b">
        <v>1</v>
      </c>
      <c r="R641" t="str">
        <f>"9781849434171"</f>
        <v>9781849434171</v>
      </c>
      <c r="S641" t="str">
        <f>"9781849433488"</f>
        <v>9781849433488</v>
      </c>
      <c r="T641">
        <v>1002925403</v>
      </c>
    </row>
    <row r="642" spans="1:20" x14ac:dyDescent="0.25">
      <c r="A642">
        <v>1026197</v>
      </c>
      <c r="B642" t="s">
        <v>3267</v>
      </c>
      <c r="D642" t="s">
        <v>131</v>
      </c>
      <c r="E642" t="s">
        <v>669</v>
      </c>
      <c r="F642">
        <v>2012</v>
      </c>
      <c r="G642" t="s">
        <v>1130</v>
      </c>
      <c r="H642" t="s">
        <v>2827</v>
      </c>
      <c r="I642" t="s">
        <v>3268</v>
      </c>
      <c r="J642" t="s">
        <v>26</v>
      </c>
      <c r="K642" t="s">
        <v>48</v>
      </c>
      <c r="L642" t="b">
        <v>1</v>
      </c>
      <c r="M642" t="s">
        <v>3179</v>
      </c>
      <c r="N642" t="str">
        <f>"822.92"</f>
        <v>822.92</v>
      </c>
      <c r="O642" t="s">
        <v>912</v>
      </c>
      <c r="P642" t="b">
        <v>1</v>
      </c>
      <c r="R642" t="str">
        <f>"9781840027754"</f>
        <v>9781840027754</v>
      </c>
      <c r="S642" t="str">
        <f>"9781849433549"</f>
        <v>9781849433549</v>
      </c>
      <c r="T642">
        <v>870600682</v>
      </c>
    </row>
    <row r="643" spans="1:20" x14ac:dyDescent="0.25">
      <c r="A643">
        <v>1026195</v>
      </c>
      <c r="B643" t="s">
        <v>3269</v>
      </c>
      <c r="D643" t="s">
        <v>131</v>
      </c>
      <c r="E643" t="s">
        <v>669</v>
      </c>
      <c r="F643">
        <v>2013</v>
      </c>
      <c r="G643" t="s">
        <v>1130</v>
      </c>
      <c r="H643" t="s">
        <v>3270</v>
      </c>
      <c r="I643" t="s">
        <v>1069</v>
      </c>
      <c r="J643" t="s">
        <v>26</v>
      </c>
      <c r="K643" t="s">
        <v>48</v>
      </c>
      <c r="L643" t="b">
        <v>1</v>
      </c>
      <c r="M643" t="s">
        <v>3271</v>
      </c>
      <c r="N643" t="str">
        <f>"822/.92"</f>
        <v>822/.92</v>
      </c>
      <c r="O643" t="s">
        <v>764</v>
      </c>
      <c r="P643" t="b">
        <v>1</v>
      </c>
      <c r="R643" t="str">
        <f>"9781783190126"</f>
        <v>9781783190126</v>
      </c>
      <c r="S643" t="str">
        <f>"9781783195114"</f>
        <v>9781783195114</v>
      </c>
      <c r="T643">
        <v>895723585</v>
      </c>
    </row>
    <row r="644" spans="1:20" x14ac:dyDescent="0.25">
      <c r="A644">
        <v>1026192</v>
      </c>
      <c r="B644" t="s">
        <v>3272</v>
      </c>
      <c r="D644" t="s">
        <v>131</v>
      </c>
      <c r="E644" t="s">
        <v>669</v>
      </c>
      <c r="F644">
        <v>2012</v>
      </c>
      <c r="G644" t="s">
        <v>1130</v>
      </c>
      <c r="H644" t="s">
        <v>3273</v>
      </c>
      <c r="I644" t="s">
        <v>3274</v>
      </c>
      <c r="J644" t="s">
        <v>26</v>
      </c>
      <c r="K644" t="s">
        <v>48</v>
      </c>
      <c r="L644" t="b">
        <v>1</v>
      </c>
      <c r="M644" t="s">
        <v>3275</v>
      </c>
      <c r="N644" t="str">
        <f>"822.92"</f>
        <v>822.92</v>
      </c>
      <c r="O644" t="s">
        <v>912</v>
      </c>
      <c r="P644" t="b">
        <v>1</v>
      </c>
      <c r="R644" t="str">
        <f>"9781840029680"</f>
        <v>9781840029680</v>
      </c>
      <c r="S644" t="str">
        <f>"9781849432917"</f>
        <v>9781849432917</v>
      </c>
      <c r="T644">
        <v>974320254</v>
      </c>
    </row>
    <row r="645" spans="1:20" x14ac:dyDescent="0.25">
      <c r="A645">
        <v>1026191</v>
      </c>
      <c r="B645" t="s">
        <v>3276</v>
      </c>
      <c r="D645" t="s">
        <v>131</v>
      </c>
      <c r="E645" t="s">
        <v>669</v>
      </c>
      <c r="F645">
        <v>2012</v>
      </c>
      <c r="G645" t="s">
        <v>1130</v>
      </c>
      <c r="H645" t="s">
        <v>3277</v>
      </c>
      <c r="I645" t="s">
        <v>3278</v>
      </c>
      <c r="J645" t="s">
        <v>26</v>
      </c>
      <c r="K645" t="s">
        <v>48</v>
      </c>
      <c r="L645" t="b">
        <v>1</v>
      </c>
      <c r="M645" t="s">
        <v>3279</v>
      </c>
      <c r="N645" t="str">
        <f>"323.4"</f>
        <v>323.4</v>
      </c>
      <c r="P645" t="b">
        <v>1</v>
      </c>
      <c r="R645" t="str">
        <f>"9781849431965"</f>
        <v>9781849431965</v>
      </c>
      <c r="S645" t="str">
        <f>"9781849435444"</f>
        <v>9781849435444</v>
      </c>
      <c r="T645">
        <v>870600639</v>
      </c>
    </row>
    <row r="646" spans="1:20" x14ac:dyDescent="0.25">
      <c r="A646">
        <v>1026190</v>
      </c>
      <c r="B646" t="s">
        <v>3280</v>
      </c>
      <c r="D646" t="s">
        <v>131</v>
      </c>
      <c r="E646" t="s">
        <v>669</v>
      </c>
      <c r="F646">
        <v>1998</v>
      </c>
      <c r="G646" t="s">
        <v>1130</v>
      </c>
      <c r="H646" t="s">
        <v>3281</v>
      </c>
      <c r="I646" t="s">
        <v>3282</v>
      </c>
      <c r="J646" t="s">
        <v>26</v>
      </c>
      <c r="K646" t="s">
        <v>48</v>
      </c>
      <c r="L646" t="b">
        <v>1</v>
      </c>
      <c r="M646" t="s">
        <v>3283</v>
      </c>
      <c r="N646" t="str">
        <f>"822.914"</f>
        <v>822.914</v>
      </c>
      <c r="O646" t="s">
        <v>764</v>
      </c>
      <c r="P646" t="b">
        <v>1</v>
      </c>
      <c r="R646" t="str">
        <f>"9781840020250"</f>
        <v>9781840020250</v>
      </c>
      <c r="S646" t="str">
        <f>"9781849436410"</f>
        <v>9781849436410</v>
      </c>
      <c r="T646">
        <v>1002925404</v>
      </c>
    </row>
    <row r="647" spans="1:20" x14ac:dyDescent="0.25">
      <c r="A647">
        <v>1026188</v>
      </c>
      <c r="B647" t="s">
        <v>3284</v>
      </c>
      <c r="D647" t="s">
        <v>131</v>
      </c>
      <c r="E647" t="s">
        <v>669</v>
      </c>
      <c r="F647">
        <v>2012</v>
      </c>
      <c r="G647" t="s">
        <v>1130</v>
      </c>
      <c r="H647" t="s">
        <v>3285</v>
      </c>
      <c r="I647" t="s">
        <v>3286</v>
      </c>
      <c r="J647" t="s">
        <v>26</v>
      </c>
      <c r="K647" t="s">
        <v>48</v>
      </c>
      <c r="L647" t="b">
        <v>1</v>
      </c>
      <c r="M647" t="s">
        <v>3287</v>
      </c>
      <c r="N647" t="str">
        <f>"822.92"</f>
        <v>822.92</v>
      </c>
      <c r="O647" t="s">
        <v>912</v>
      </c>
      <c r="P647" t="b">
        <v>1</v>
      </c>
      <c r="R647" t="str">
        <f>"9781849434416"</f>
        <v>9781849434416</v>
      </c>
      <c r="S647" t="str">
        <f>"9781849438049"</f>
        <v>9781849438049</v>
      </c>
      <c r="T647">
        <v>901620929</v>
      </c>
    </row>
    <row r="648" spans="1:20" x14ac:dyDescent="0.25">
      <c r="A648">
        <v>1026186</v>
      </c>
      <c r="B648" t="s">
        <v>3288</v>
      </c>
      <c r="C648" t="s">
        <v>3289</v>
      </c>
      <c r="D648" t="s">
        <v>131</v>
      </c>
      <c r="E648" t="s">
        <v>669</v>
      </c>
      <c r="F648">
        <v>2012</v>
      </c>
      <c r="G648" t="s">
        <v>1130</v>
      </c>
      <c r="H648" t="s">
        <v>3290</v>
      </c>
      <c r="I648" t="s">
        <v>2870</v>
      </c>
      <c r="J648" t="s">
        <v>26</v>
      </c>
      <c r="K648" t="s">
        <v>48</v>
      </c>
      <c r="L648" t="b">
        <v>1</v>
      </c>
      <c r="M648" t="s">
        <v>2871</v>
      </c>
      <c r="N648" t="str">
        <f>"822/.914"</f>
        <v>822/.914</v>
      </c>
      <c r="P648" t="b">
        <v>1</v>
      </c>
      <c r="R648" t="str">
        <f>"9781849433846"</f>
        <v>9781849433846</v>
      </c>
      <c r="S648" t="str">
        <f>"9781849432825"</f>
        <v>9781849432825</v>
      </c>
      <c r="T648">
        <v>818864989</v>
      </c>
    </row>
    <row r="649" spans="1:20" x14ac:dyDescent="0.25">
      <c r="A649">
        <v>1026184</v>
      </c>
      <c r="B649" t="s">
        <v>3291</v>
      </c>
      <c r="D649" t="s">
        <v>131</v>
      </c>
      <c r="E649" t="s">
        <v>669</v>
      </c>
      <c r="F649">
        <v>2012</v>
      </c>
      <c r="G649" t="s">
        <v>1130</v>
      </c>
      <c r="H649" t="s">
        <v>3292</v>
      </c>
      <c r="I649" t="s">
        <v>3293</v>
      </c>
      <c r="J649" t="s">
        <v>26</v>
      </c>
      <c r="K649" t="s">
        <v>48</v>
      </c>
      <c r="L649" t="b">
        <v>1</v>
      </c>
      <c r="M649" t="s">
        <v>3294</v>
      </c>
      <c r="N649" t="str">
        <f>"822.92"</f>
        <v>822.92</v>
      </c>
      <c r="O649" t="s">
        <v>912</v>
      </c>
      <c r="P649" t="b">
        <v>1</v>
      </c>
      <c r="R649" t="str">
        <f>"9781849434003"</f>
        <v>9781849434003</v>
      </c>
      <c r="S649" t="str">
        <f>"9781849436168"</f>
        <v>9781849436168</v>
      </c>
      <c r="T649">
        <v>903055324</v>
      </c>
    </row>
    <row r="650" spans="1:20" x14ac:dyDescent="0.25">
      <c r="A650">
        <v>1026178</v>
      </c>
      <c r="B650" t="s">
        <v>3295</v>
      </c>
      <c r="D650" t="s">
        <v>131</v>
      </c>
      <c r="E650" t="s">
        <v>669</v>
      </c>
      <c r="F650">
        <v>2012</v>
      </c>
      <c r="G650" t="s">
        <v>1130</v>
      </c>
      <c r="H650" t="s">
        <v>2827</v>
      </c>
      <c r="I650" t="s">
        <v>3296</v>
      </c>
      <c r="J650" t="s">
        <v>26</v>
      </c>
      <c r="K650" t="s">
        <v>48</v>
      </c>
      <c r="L650" t="b">
        <v>1</v>
      </c>
      <c r="M650" t="s">
        <v>2892</v>
      </c>
      <c r="N650" t="str">
        <f>"793.73"</f>
        <v>793.73</v>
      </c>
      <c r="P650" t="b">
        <v>1</v>
      </c>
      <c r="R650" t="str">
        <f>"9781840029598"</f>
        <v>9781840029598</v>
      </c>
      <c r="S650" t="str">
        <f>"9781849431897"</f>
        <v>9781849431897</v>
      </c>
      <c r="T650">
        <v>870600681</v>
      </c>
    </row>
    <row r="651" spans="1:20" x14ac:dyDescent="0.25">
      <c r="A651">
        <v>1026171</v>
      </c>
      <c r="B651" t="s">
        <v>3297</v>
      </c>
      <c r="D651" t="s">
        <v>131</v>
      </c>
      <c r="E651" t="s">
        <v>669</v>
      </c>
      <c r="F651">
        <v>2011</v>
      </c>
      <c r="G651" t="s">
        <v>1130</v>
      </c>
      <c r="H651" t="s">
        <v>3298</v>
      </c>
      <c r="I651" t="s">
        <v>3299</v>
      </c>
      <c r="J651" t="s">
        <v>26</v>
      </c>
      <c r="K651" t="s">
        <v>48</v>
      </c>
      <c r="L651" t="b">
        <v>1</v>
      </c>
      <c r="M651" t="s">
        <v>3300</v>
      </c>
      <c r="N651" t="str">
        <f>"808.8245"</f>
        <v>808.8245</v>
      </c>
      <c r="O651" t="s">
        <v>970</v>
      </c>
      <c r="P651" t="b">
        <v>1</v>
      </c>
      <c r="R651" t="str">
        <f>"9781849431194"</f>
        <v>9781849431194</v>
      </c>
      <c r="S651" t="str">
        <f>"9781849439251"</f>
        <v>9781849439251</v>
      </c>
      <c r="T651">
        <v>904162032</v>
      </c>
    </row>
    <row r="652" spans="1:20" x14ac:dyDescent="0.25">
      <c r="A652">
        <v>1026166</v>
      </c>
      <c r="B652" t="s">
        <v>3301</v>
      </c>
      <c r="C652" t="s">
        <v>3302</v>
      </c>
      <c r="D652" t="s">
        <v>131</v>
      </c>
      <c r="E652" t="s">
        <v>669</v>
      </c>
      <c r="F652">
        <v>2009</v>
      </c>
      <c r="G652" t="s">
        <v>1130</v>
      </c>
      <c r="H652" t="s">
        <v>3303</v>
      </c>
      <c r="I652" t="s">
        <v>3304</v>
      </c>
      <c r="J652" t="s">
        <v>26</v>
      </c>
      <c r="K652" t="s">
        <v>48</v>
      </c>
      <c r="L652" t="b">
        <v>1</v>
      </c>
      <c r="M652" t="s">
        <v>3305</v>
      </c>
      <c r="N652" t="str">
        <f>"822.914"</f>
        <v>822.914</v>
      </c>
      <c r="P652" t="b">
        <v>1</v>
      </c>
      <c r="R652" t="str">
        <f>"9781840029031"</f>
        <v>9781840029031</v>
      </c>
      <c r="S652" t="str">
        <f>"9781849438599"</f>
        <v>9781849438599</v>
      </c>
      <c r="T652">
        <v>946038468</v>
      </c>
    </row>
    <row r="653" spans="1:20" x14ac:dyDescent="0.25">
      <c r="A653">
        <v>1026165</v>
      </c>
      <c r="B653" t="s">
        <v>3306</v>
      </c>
      <c r="D653" t="s">
        <v>131</v>
      </c>
      <c r="E653" t="s">
        <v>669</v>
      </c>
      <c r="F653">
        <v>2012</v>
      </c>
      <c r="G653" t="s">
        <v>1130</v>
      </c>
      <c r="H653" t="s">
        <v>3307</v>
      </c>
      <c r="I653" t="s">
        <v>3308</v>
      </c>
      <c r="J653" t="s">
        <v>26</v>
      </c>
      <c r="K653" t="s">
        <v>48</v>
      </c>
      <c r="L653" t="b">
        <v>1</v>
      </c>
      <c r="M653" t="s">
        <v>3309</v>
      </c>
      <c r="N653" t="str">
        <f>"822.914"</f>
        <v>822.914</v>
      </c>
      <c r="P653" t="b">
        <v>1</v>
      </c>
      <c r="R653" t="str">
        <f>"9781849431217"</f>
        <v>9781849431217</v>
      </c>
      <c r="S653" t="str">
        <f>"9781849432573"</f>
        <v>9781849432573</v>
      </c>
      <c r="T653">
        <v>826637834</v>
      </c>
    </row>
    <row r="654" spans="1:20" x14ac:dyDescent="0.25">
      <c r="A654">
        <v>1026164</v>
      </c>
      <c r="B654" t="s">
        <v>3310</v>
      </c>
      <c r="D654" t="s">
        <v>131</v>
      </c>
      <c r="E654" t="s">
        <v>669</v>
      </c>
      <c r="F654">
        <v>2012</v>
      </c>
      <c r="G654" t="s">
        <v>1130</v>
      </c>
      <c r="H654" t="s">
        <v>3311</v>
      </c>
      <c r="I654" t="s">
        <v>3312</v>
      </c>
      <c r="J654" t="s">
        <v>26</v>
      </c>
      <c r="K654" t="s">
        <v>48</v>
      </c>
      <c r="L654" t="b">
        <v>1</v>
      </c>
      <c r="M654" t="s">
        <v>3313</v>
      </c>
      <c r="N654" t="str">
        <f>"800"</f>
        <v>800</v>
      </c>
      <c r="O654" t="s">
        <v>912</v>
      </c>
      <c r="P654" t="b">
        <v>1</v>
      </c>
      <c r="R654" t="str">
        <f>"9781849434393"</f>
        <v>9781849434393</v>
      </c>
      <c r="S654" t="str">
        <f>"9781849435277"</f>
        <v>9781849435277</v>
      </c>
      <c r="T654">
        <v>903603506</v>
      </c>
    </row>
    <row r="655" spans="1:20" x14ac:dyDescent="0.25">
      <c r="A655">
        <v>1026162</v>
      </c>
      <c r="B655" t="s">
        <v>3314</v>
      </c>
      <c r="D655" t="s">
        <v>131</v>
      </c>
      <c r="E655" t="s">
        <v>669</v>
      </c>
      <c r="F655">
        <v>2012</v>
      </c>
      <c r="G655" t="s">
        <v>1130</v>
      </c>
      <c r="H655" t="s">
        <v>3315</v>
      </c>
      <c r="I655" t="s">
        <v>3316</v>
      </c>
      <c r="J655" t="s">
        <v>26</v>
      </c>
      <c r="K655" t="s">
        <v>48</v>
      </c>
      <c r="L655" t="b">
        <v>1</v>
      </c>
      <c r="M655" t="s">
        <v>3317</v>
      </c>
      <c r="N655" t="str">
        <f>"832.6"</f>
        <v>832.6</v>
      </c>
      <c r="O655" t="s">
        <v>1314</v>
      </c>
      <c r="P655" t="b">
        <v>1</v>
      </c>
      <c r="R655" t="str">
        <f>"9781870259118"</f>
        <v>9781870259118</v>
      </c>
      <c r="S655" t="str">
        <f>"9781849437431"</f>
        <v>9781849437431</v>
      </c>
      <c r="T655">
        <v>606861871</v>
      </c>
    </row>
    <row r="656" spans="1:20" x14ac:dyDescent="0.25">
      <c r="A656">
        <v>1026157</v>
      </c>
      <c r="B656" t="s">
        <v>3318</v>
      </c>
      <c r="D656" t="s">
        <v>131</v>
      </c>
      <c r="E656" t="s">
        <v>669</v>
      </c>
      <c r="F656">
        <v>2014</v>
      </c>
      <c r="G656" t="s">
        <v>1130</v>
      </c>
      <c r="H656" t="s">
        <v>3319</v>
      </c>
      <c r="I656" t="s">
        <v>3320</v>
      </c>
      <c r="J656" t="s">
        <v>26</v>
      </c>
      <c r="K656" t="s">
        <v>48</v>
      </c>
      <c r="L656" t="b">
        <v>1</v>
      </c>
      <c r="M656" t="s">
        <v>3321</v>
      </c>
      <c r="N656" t="str">
        <f>"822.92"</f>
        <v>822.92</v>
      </c>
      <c r="O656" t="s">
        <v>912</v>
      </c>
      <c r="P656" t="b">
        <v>1</v>
      </c>
      <c r="R656" t="str">
        <f>"9781783190614"</f>
        <v>9781783190614</v>
      </c>
      <c r="S656" t="str">
        <f>"9781783195602"</f>
        <v>9781783195602</v>
      </c>
      <c r="T656">
        <v>945750308</v>
      </c>
    </row>
    <row r="657" spans="1:20" x14ac:dyDescent="0.25">
      <c r="A657">
        <v>1026155</v>
      </c>
      <c r="B657" t="s">
        <v>3322</v>
      </c>
      <c r="D657" t="s">
        <v>131</v>
      </c>
      <c r="E657" t="s">
        <v>669</v>
      </c>
      <c r="F657">
        <v>2012</v>
      </c>
      <c r="G657" t="s">
        <v>1130</v>
      </c>
      <c r="H657" t="s">
        <v>3323</v>
      </c>
      <c r="I657" t="s">
        <v>3324</v>
      </c>
      <c r="J657" t="s">
        <v>26</v>
      </c>
      <c r="K657" t="s">
        <v>48</v>
      </c>
      <c r="L657" t="b">
        <v>1</v>
      </c>
      <c r="M657" t="s">
        <v>3325</v>
      </c>
      <c r="N657" t="str">
        <f>"822.92"</f>
        <v>822.92</v>
      </c>
      <c r="O657" t="s">
        <v>912</v>
      </c>
      <c r="P657" t="b">
        <v>1</v>
      </c>
      <c r="R657" t="str">
        <f>"9781849431866"</f>
        <v>9781849431866</v>
      </c>
      <c r="S657" t="str">
        <f>"9781849433044"</f>
        <v>9781849433044</v>
      </c>
      <c r="T657">
        <v>903055425</v>
      </c>
    </row>
    <row r="658" spans="1:20" x14ac:dyDescent="0.25">
      <c r="A658">
        <v>1026154</v>
      </c>
      <c r="B658" t="s">
        <v>3326</v>
      </c>
      <c r="C658" t="s">
        <v>3327</v>
      </c>
      <c r="D658" t="s">
        <v>131</v>
      </c>
      <c r="E658" t="s">
        <v>669</v>
      </c>
      <c r="F658">
        <v>2012</v>
      </c>
      <c r="G658" t="s">
        <v>1130</v>
      </c>
      <c r="H658" t="s">
        <v>3328</v>
      </c>
      <c r="I658" t="s">
        <v>1257</v>
      </c>
      <c r="J658" t="s">
        <v>26</v>
      </c>
      <c r="K658" t="s">
        <v>48</v>
      </c>
      <c r="L658" t="b">
        <v>1</v>
      </c>
      <c r="M658" t="s">
        <v>3271</v>
      </c>
      <c r="N658" t="str">
        <f>"822/.92"</f>
        <v>822/.92</v>
      </c>
      <c r="O658" t="s">
        <v>764</v>
      </c>
      <c r="P658" t="b">
        <v>1</v>
      </c>
      <c r="R658" t="str">
        <f>"9781840028034"</f>
        <v>9781840028034</v>
      </c>
      <c r="S658" t="str">
        <f>"9781849433143"</f>
        <v>9781849433143</v>
      </c>
      <c r="T658">
        <v>904958084</v>
      </c>
    </row>
    <row r="659" spans="1:20" x14ac:dyDescent="0.25">
      <c r="A659">
        <v>1026152</v>
      </c>
      <c r="B659" t="s">
        <v>3329</v>
      </c>
      <c r="D659" t="s">
        <v>131</v>
      </c>
      <c r="E659" t="s">
        <v>669</v>
      </c>
      <c r="F659">
        <v>2012</v>
      </c>
      <c r="G659" t="s">
        <v>1130</v>
      </c>
      <c r="H659" t="s">
        <v>3330</v>
      </c>
      <c r="I659" t="s">
        <v>3004</v>
      </c>
      <c r="J659" t="s">
        <v>26</v>
      </c>
      <c r="K659" t="s">
        <v>48</v>
      </c>
      <c r="L659" t="b">
        <v>1</v>
      </c>
      <c r="M659" t="s">
        <v>3331</v>
      </c>
      <c r="N659" t="str">
        <f>"822/.92"</f>
        <v>822/.92</v>
      </c>
      <c r="P659" t="b">
        <v>1</v>
      </c>
      <c r="R659" t="str">
        <f>"9781849430463"</f>
        <v>9781849430463</v>
      </c>
      <c r="S659" t="str">
        <f>"9781849436427"</f>
        <v>9781849436427</v>
      </c>
      <c r="T659">
        <v>870600515</v>
      </c>
    </row>
    <row r="660" spans="1:20" x14ac:dyDescent="0.25">
      <c r="A660">
        <v>1026151</v>
      </c>
      <c r="B660" t="s">
        <v>3332</v>
      </c>
      <c r="D660" t="s">
        <v>131</v>
      </c>
      <c r="E660" t="s">
        <v>669</v>
      </c>
      <c r="F660">
        <v>2012</v>
      </c>
      <c r="G660" t="s">
        <v>1130</v>
      </c>
      <c r="H660" t="s">
        <v>3333</v>
      </c>
      <c r="I660" t="s">
        <v>3334</v>
      </c>
      <c r="J660" t="s">
        <v>26</v>
      </c>
      <c r="K660" t="s">
        <v>48</v>
      </c>
      <c r="L660" t="b">
        <v>1</v>
      </c>
      <c r="M660" t="s">
        <v>3335</v>
      </c>
      <c r="N660" t="str">
        <f>"822/.92"</f>
        <v>822/.92</v>
      </c>
      <c r="O660" t="s">
        <v>912</v>
      </c>
      <c r="P660" t="b">
        <v>1</v>
      </c>
      <c r="R660" t="str">
        <f>"9781849434720"</f>
        <v>9781849434720</v>
      </c>
      <c r="S660" t="str">
        <f>"9781849436489"</f>
        <v>9781849436489</v>
      </c>
      <c r="T660">
        <v>903055216</v>
      </c>
    </row>
    <row r="661" spans="1:20" x14ac:dyDescent="0.25">
      <c r="A661">
        <v>1026147</v>
      </c>
      <c r="B661" t="s">
        <v>3336</v>
      </c>
      <c r="D661" t="s">
        <v>131</v>
      </c>
      <c r="E661" t="s">
        <v>669</v>
      </c>
      <c r="F661">
        <v>2012</v>
      </c>
      <c r="G661" t="s">
        <v>1130</v>
      </c>
      <c r="H661" t="s">
        <v>3337</v>
      </c>
      <c r="I661" t="s">
        <v>3338</v>
      </c>
      <c r="J661" t="s">
        <v>26</v>
      </c>
      <c r="K661" t="s">
        <v>48</v>
      </c>
      <c r="L661" t="b">
        <v>1</v>
      </c>
      <c r="M661" t="s">
        <v>3339</v>
      </c>
      <c r="N661" t="str">
        <f>"812/.54"</f>
        <v>812/.54</v>
      </c>
      <c r="O661" t="s">
        <v>912</v>
      </c>
      <c r="P661" t="b">
        <v>1</v>
      </c>
      <c r="R661" t="str">
        <f>"9781840029444"</f>
        <v>9781840029444</v>
      </c>
      <c r="S661" t="str">
        <f>"9781849432214"</f>
        <v>9781849432214</v>
      </c>
      <c r="T661">
        <v>951678337</v>
      </c>
    </row>
    <row r="662" spans="1:20" x14ac:dyDescent="0.25">
      <c r="A662">
        <v>1026146</v>
      </c>
      <c r="B662" t="s">
        <v>3340</v>
      </c>
      <c r="D662" t="s">
        <v>131</v>
      </c>
      <c r="E662" t="s">
        <v>669</v>
      </c>
      <c r="F662">
        <v>2012</v>
      </c>
      <c r="G662" t="s">
        <v>1130</v>
      </c>
      <c r="H662" t="s">
        <v>3341</v>
      </c>
      <c r="I662" t="s">
        <v>3342</v>
      </c>
      <c r="J662" t="s">
        <v>26</v>
      </c>
      <c r="K662" t="s">
        <v>48</v>
      </c>
      <c r="L662" t="b">
        <v>1</v>
      </c>
      <c r="M662" t="s">
        <v>3343</v>
      </c>
      <c r="N662" t="str">
        <f>"822.914"</f>
        <v>822.914</v>
      </c>
      <c r="O662" t="s">
        <v>912</v>
      </c>
      <c r="P662" t="b">
        <v>1</v>
      </c>
      <c r="R662" t="str">
        <f>"9781840022575"</f>
        <v>9781840022575</v>
      </c>
      <c r="S662" t="str">
        <f>"9781849436304"</f>
        <v>9781849436304</v>
      </c>
      <c r="T662">
        <v>870600425</v>
      </c>
    </row>
    <row r="663" spans="1:20" x14ac:dyDescent="0.25">
      <c r="A663">
        <v>1026143</v>
      </c>
      <c r="B663" t="s">
        <v>3344</v>
      </c>
      <c r="D663" t="s">
        <v>131</v>
      </c>
      <c r="E663" t="s">
        <v>669</v>
      </c>
      <c r="F663">
        <v>2011</v>
      </c>
      <c r="G663" t="s">
        <v>1130</v>
      </c>
      <c r="H663" t="s">
        <v>3345</v>
      </c>
      <c r="I663" t="s">
        <v>3346</v>
      </c>
      <c r="J663" t="s">
        <v>26</v>
      </c>
      <c r="K663" t="s">
        <v>48</v>
      </c>
      <c r="L663" t="b">
        <v>1</v>
      </c>
      <c r="M663" t="s">
        <v>2900</v>
      </c>
      <c r="N663" t="str">
        <f>"822.914"</f>
        <v>822.914</v>
      </c>
      <c r="O663" t="s">
        <v>912</v>
      </c>
      <c r="P663" t="b">
        <v>1</v>
      </c>
      <c r="R663" t="str">
        <f>"9781849430272"</f>
        <v>9781849430272</v>
      </c>
      <c r="S663" t="str">
        <f>"9781849437578"</f>
        <v>9781849437578</v>
      </c>
      <c r="T663">
        <v>904208011</v>
      </c>
    </row>
    <row r="664" spans="1:20" x14ac:dyDescent="0.25">
      <c r="A664">
        <v>1026142</v>
      </c>
      <c r="B664" t="s">
        <v>3347</v>
      </c>
      <c r="D664" t="s">
        <v>131</v>
      </c>
      <c r="E664" t="s">
        <v>669</v>
      </c>
      <c r="F664">
        <v>2012</v>
      </c>
      <c r="G664" t="s">
        <v>1130</v>
      </c>
      <c r="H664" t="s">
        <v>3348</v>
      </c>
      <c r="J664" t="s">
        <v>26</v>
      </c>
      <c r="K664" t="s">
        <v>48</v>
      </c>
      <c r="L664" t="b">
        <v>1</v>
      </c>
      <c r="M664" t="s">
        <v>3349</v>
      </c>
      <c r="N664" t="str">
        <f>"822.92"</f>
        <v>822.92</v>
      </c>
      <c r="O664" t="s">
        <v>912</v>
      </c>
      <c r="P664" t="b">
        <v>1</v>
      </c>
      <c r="R664" t="str">
        <f>"9781849431644"</f>
        <v>9781849431644</v>
      </c>
      <c r="S664" t="str">
        <f>"9781849435147"</f>
        <v>9781849435147</v>
      </c>
      <c r="T664">
        <v>974333392</v>
      </c>
    </row>
    <row r="665" spans="1:20" x14ac:dyDescent="0.25">
      <c r="A665">
        <v>1026140</v>
      </c>
      <c r="B665" t="s">
        <v>3350</v>
      </c>
      <c r="D665" t="s">
        <v>131</v>
      </c>
      <c r="E665" t="s">
        <v>669</v>
      </c>
      <c r="F665">
        <v>2012</v>
      </c>
      <c r="G665" t="s">
        <v>1130</v>
      </c>
      <c r="H665" t="s">
        <v>3351</v>
      </c>
      <c r="I665" t="s">
        <v>3352</v>
      </c>
      <c r="J665" t="s">
        <v>26</v>
      </c>
      <c r="K665" t="s">
        <v>48</v>
      </c>
      <c r="L665" t="b">
        <v>1</v>
      </c>
      <c r="M665" t="s">
        <v>3353</v>
      </c>
      <c r="N665" t="str">
        <f>"822.92"</f>
        <v>822.92</v>
      </c>
      <c r="O665" t="s">
        <v>912</v>
      </c>
      <c r="P665" t="b">
        <v>1</v>
      </c>
      <c r="R665" t="str">
        <f>"9781849432023"</f>
        <v>9781849432023</v>
      </c>
      <c r="S665" t="str">
        <f>"9781849432597"</f>
        <v>9781849432597</v>
      </c>
      <c r="T665">
        <v>895726175</v>
      </c>
    </row>
    <row r="666" spans="1:20" x14ac:dyDescent="0.25">
      <c r="A666">
        <v>1026139</v>
      </c>
      <c r="B666" t="s">
        <v>3354</v>
      </c>
      <c r="D666" t="s">
        <v>131</v>
      </c>
      <c r="E666" t="s">
        <v>669</v>
      </c>
      <c r="F666">
        <v>2012</v>
      </c>
      <c r="G666" t="s">
        <v>1130</v>
      </c>
      <c r="H666" t="s">
        <v>3355</v>
      </c>
      <c r="I666" t="s">
        <v>3356</v>
      </c>
      <c r="J666" t="s">
        <v>26</v>
      </c>
      <c r="K666" t="s">
        <v>48</v>
      </c>
      <c r="L666" t="b">
        <v>1</v>
      </c>
      <c r="M666" t="s">
        <v>2900</v>
      </c>
      <c r="N666" t="str">
        <f>"808.2"</f>
        <v>808.2</v>
      </c>
      <c r="P666" t="b">
        <v>1</v>
      </c>
      <c r="R666" t="str">
        <f>"9781840029864"</f>
        <v>9781840029864</v>
      </c>
      <c r="S666" t="str">
        <f>"9781849433761"</f>
        <v>9781849433761</v>
      </c>
      <c r="T666">
        <v>881083583</v>
      </c>
    </row>
    <row r="667" spans="1:20" x14ac:dyDescent="0.25">
      <c r="A667">
        <v>1026137</v>
      </c>
      <c r="B667" t="s">
        <v>3357</v>
      </c>
      <c r="D667" t="s">
        <v>131</v>
      </c>
      <c r="E667" t="s">
        <v>669</v>
      </c>
      <c r="F667">
        <v>2013</v>
      </c>
      <c r="G667" t="s">
        <v>1130</v>
      </c>
      <c r="H667" t="s">
        <v>3358</v>
      </c>
      <c r="I667" t="s">
        <v>3359</v>
      </c>
      <c r="J667" t="s">
        <v>26</v>
      </c>
      <c r="K667" t="s">
        <v>48</v>
      </c>
      <c r="L667" t="b">
        <v>1</v>
      </c>
      <c r="M667" t="s">
        <v>3360</v>
      </c>
      <c r="N667" t="str">
        <f>"822/.92"</f>
        <v>822/.92</v>
      </c>
      <c r="O667" t="s">
        <v>912</v>
      </c>
      <c r="P667" t="b">
        <v>1</v>
      </c>
      <c r="R667" t="str">
        <f>"9781783190188"</f>
        <v>9781783190188</v>
      </c>
      <c r="S667" t="str">
        <f>"9781783195176"</f>
        <v>9781783195176</v>
      </c>
      <c r="T667">
        <v>900740403</v>
      </c>
    </row>
    <row r="668" spans="1:20" x14ac:dyDescent="0.25">
      <c r="A668">
        <v>1026136</v>
      </c>
      <c r="B668" t="s">
        <v>3361</v>
      </c>
      <c r="C668" t="s">
        <v>3362</v>
      </c>
      <c r="D668" t="s">
        <v>131</v>
      </c>
      <c r="E668" t="s">
        <v>669</v>
      </c>
      <c r="F668">
        <v>2011</v>
      </c>
      <c r="G668" t="s">
        <v>1130</v>
      </c>
      <c r="H668" t="s">
        <v>3363</v>
      </c>
      <c r="J668" t="s">
        <v>26</v>
      </c>
      <c r="K668" t="s">
        <v>48</v>
      </c>
      <c r="L668" t="b">
        <v>1</v>
      </c>
      <c r="M668" t="s">
        <v>3364</v>
      </c>
      <c r="N668" t="str">
        <f>"822.92"</f>
        <v>822.92</v>
      </c>
      <c r="O668" t="s">
        <v>912</v>
      </c>
      <c r="P668" t="b">
        <v>1</v>
      </c>
      <c r="R668" t="str">
        <f>"9781849431491"</f>
        <v>9781849431491</v>
      </c>
      <c r="S668" t="str">
        <f>"9781849436625"</f>
        <v>9781849436625</v>
      </c>
      <c r="T668">
        <v>903910683</v>
      </c>
    </row>
    <row r="669" spans="1:20" x14ac:dyDescent="0.25">
      <c r="A669">
        <v>1026134</v>
      </c>
      <c r="B669" t="s">
        <v>3365</v>
      </c>
      <c r="D669" t="s">
        <v>131</v>
      </c>
      <c r="E669" t="s">
        <v>669</v>
      </c>
      <c r="F669">
        <v>2012</v>
      </c>
      <c r="G669" t="s">
        <v>3027</v>
      </c>
      <c r="H669" t="s">
        <v>3366</v>
      </c>
      <c r="I669" t="s">
        <v>3367</v>
      </c>
      <c r="J669" t="s">
        <v>26</v>
      </c>
      <c r="K669" t="s">
        <v>48</v>
      </c>
      <c r="L669" t="b">
        <v>1</v>
      </c>
      <c r="M669" t="s">
        <v>3368</v>
      </c>
      <c r="N669" t="str">
        <f>"792.028"</f>
        <v>792.028</v>
      </c>
      <c r="P669" t="b">
        <v>0</v>
      </c>
      <c r="R669" t="str">
        <f>"9781849432320"</f>
        <v>9781849432320</v>
      </c>
      <c r="S669" t="str">
        <f>"9781849435420"</f>
        <v>9781849435420</v>
      </c>
      <c r="T669">
        <v>826638663</v>
      </c>
    </row>
    <row r="670" spans="1:20" x14ac:dyDescent="0.25">
      <c r="A670">
        <v>1026132</v>
      </c>
      <c r="B670" t="s">
        <v>3369</v>
      </c>
      <c r="D670" t="s">
        <v>131</v>
      </c>
      <c r="E670" t="s">
        <v>669</v>
      </c>
      <c r="F670">
        <v>2012</v>
      </c>
      <c r="G670" t="s">
        <v>1130</v>
      </c>
      <c r="H670" t="s">
        <v>3370</v>
      </c>
      <c r="J670" t="s">
        <v>26</v>
      </c>
      <c r="K670" t="s">
        <v>48</v>
      </c>
      <c r="L670" t="b">
        <v>1</v>
      </c>
      <c r="M670" t="s">
        <v>3371</v>
      </c>
      <c r="N670" t="str">
        <f>"822.7"</f>
        <v>822.7</v>
      </c>
      <c r="P670" t="b">
        <v>1</v>
      </c>
      <c r="R670" t="str">
        <f>"9781849434232"</f>
        <v>9781849434232</v>
      </c>
      <c r="S670" t="str">
        <f>"9781849435260"</f>
        <v>9781849435260</v>
      </c>
      <c r="T670">
        <v>870600534</v>
      </c>
    </row>
    <row r="671" spans="1:20" x14ac:dyDescent="0.25">
      <c r="A671">
        <v>1026130</v>
      </c>
      <c r="B671" t="s">
        <v>3372</v>
      </c>
      <c r="D671" t="s">
        <v>131</v>
      </c>
      <c r="E671" t="s">
        <v>669</v>
      </c>
      <c r="F671">
        <v>2012</v>
      </c>
      <c r="G671" t="s">
        <v>1130</v>
      </c>
      <c r="H671" t="s">
        <v>3373</v>
      </c>
      <c r="I671" t="s">
        <v>3374</v>
      </c>
      <c r="J671" t="s">
        <v>26</v>
      </c>
      <c r="K671" t="s">
        <v>48</v>
      </c>
      <c r="L671" t="b">
        <v>1</v>
      </c>
      <c r="M671" t="s">
        <v>3375</v>
      </c>
      <c r="N671" t="str">
        <f>"822.92"</f>
        <v>822.92</v>
      </c>
      <c r="O671" t="s">
        <v>912</v>
      </c>
      <c r="P671" t="b">
        <v>1</v>
      </c>
      <c r="R671" t="str">
        <f>"9781849432184"</f>
        <v>9781849432184</v>
      </c>
      <c r="S671" t="str">
        <f>"9781849432580"</f>
        <v>9781849432580</v>
      </c>
      <c r="T671">
        <v>903055392</v>
      </c>
    </row>
    <row r="672" spans="1:20" x14ac:dyDescent="0.25">
      <c r="A672">
        <v>1026127</v>
      </c>
      <c r="B672" t="s">
        <v>3376</v>
      </c>
      <c r="C672" t="s">
        <v>3377</v>
      </c>
      <c r="D672" t="s">
        <v>131</v>
      </c>
      <c r="E672" t="s">
        <v>669</v>
      </c>
      <c r="F672">
        <v>2012</v>
      </c>
      <c r="G672" t="s">
        <v>1130</v>
      </c>
      <c r="H672" t="s">
        <v>3378</v>
      </c>
      <c r="I672" t="s">
        <v>3379</v>
      </c>
      <c r="J672" t="s">
        <v>26</v>
      </c>
      <c r="K672" t="s">
        <v>48</v>
      </c>
      <c r="L672" t="b">
        <v>1</v>
      </c>
      <c r="M672" t="s">
        <v>3380</v>
      </c>
      <c r="N672" t="str">
        <f>"820"</f>
        <v>820</v>
      </c>
      <c r="P672" t="b">
        <v>1</v>
      </c>
      <c r="R672" t="str">
        <f>"9781840029789"</f>
        <v>9781840029789</v>
      </c>
      <c r="S672" t="str">
        <f>"9781849432818"</f>
        <v>9781849432818</v>
      </c>
      <c r="T672">
        <v>1001810610</v>
      </c>
    </row>
    <row r="673" spans="1:20" x14ac:dyDescent="0.25">
      <c r="A673">
        <v>1026125</v>
      </c>
      <c r="B673" t="s">
        <v>3381</v>
      </c>
      <c r="C673" t="s">
        <v>3382</v>
      </c>
      <c r="D673" t="s">
        <v>131</v>
      </c>
      <c r="E673" t="s">
        <v>669</v>
      </c>
      <c r="F673">
        <v>2013</v>
      </c>
      <c r="G673" t="s">
        <v>1130</v>
      </c>
      <c r="H673" t="s">
        <v>3383</v>
      </c>
      <c r="I673" t="s">
        <v>910</v>
      </c>
      <c r="J673" t="s">
        <v>26</v>
      </c>
      <c r="K673" t="s">
        <v>48</v>
      </c>
      <c r="L673" t="b">
        <v>1</v>
      </c>
      <c r="M673" t="s">
        <v>3384</v>
      </c>
      <c r="N673" t="str">
        <f>"822/.92"</f>
        <v>822/.92</v>
      </c>
      <c r="O673" t="s">
        <v>3385</v>
      </c>
      <c r="P673" t="b">
        <v>1</v>
      </c>
      <c r="R673" t="str">
        <f>"9781840025644"</f>
        <v>9781840025644</v>
      </c>
      <c r="S673" t="str">
        <f>"9781849439466"</f>
        <v>9781849439466</v>
      </c>
      <c r="T673">
        <v>946357875</v>
      </c>
    </row>
    <row r="674" spans="1:20" x14ac:dyDescent="0.25">
      <c r="A674">
        <v>1026121</v>
      </c>
      <c r="B674" t="s">
        <v>3386</v>
      </c>
      <c r="D674" t="s">
        <v>131</v>
      </c>
      <c r="E674" t="s">
        <v>669</v>
      </c>
      <c r="F674">
        <v>2011</v>
      </c>
      <c r="G674" t="s">
        <v>1130</v>
      </c>
      <c r="H674" t="s">
        <v>3387</v>
      </c>
      <c r="I674" t="s">
        <v>3388</v>
      </c>
      <c r="J674" t="s">
        <v>26</v>
      </c>
      <c r="K674" t="s">
        <v>48</v>
      </c>
      <c r="L674" t="b">
        <v>1</v>
      </c>
      <c r="M674" t="s">
        <v>3389</v>
      </c>
      <c r="N674" t="str">
        <f>"812.6"</f>
        <v>812.6</v>
      </c>
      <c r="O674" t="s">
        <v>912</v>
      </c>
      <c r="P674" t="b">
        <v>1</v>
      </c>
      <c r="R674" t="str">
        <f>"9781849432443"</f>
        <v>9781849432443</v>
      </c>
      <c r="S674" t="str">
        <f>"9781849437264"</f>
        <v>9781849437264</v>
      </c>
      <c r="T674">
        <v>903910687</v>
      </c>
    </row>
    <row r="675" spans="1:20" x14ac:dyDescent="0.25">
      <c r="A675">
        <v>1026120</v>
      </c>
      <c r="B675" t="s">
        <v>3390</v>
      </c>
      <c r="D675" t="s">
        <v>131</v>
      </c>
      <c r="E675" t="s">
        <v>669</v>
      </c>
      <c r="F675">
        <v>2012</v>
      </c>
      <c r="G675" t="s">
        <v>1130</v>
      </c>
      <c r="H675" t="s">
        <v>3391</v>
      </c>
      <c r="I675" t="s">
        <v>3392</v>
      </c>
      <c r="J675" t="s">
        <v>26</v>
      </c>
      <c r="K675" t="s">
        <v>48</v>
      </c>
      <c r="L675" t="b">
        <v>1</v>
      </c>
      <c r="M675" t="s">
        <v>2900</v>
      </c>
      <c r="N675" t="str">
        <f>"822.914"</f>
        <v>822.914</v>
      </c>
      <c r="O675" t="s">
        <v>764</v>
      </c>
      <c r="P675" t="b">
        <v>1</v>
      </c>
      <c r="R675" t="str">
        <f>"9781849431446"</f>
        <v>9781849431446</v>
      </c>
      <c r="S675" t="str">
        <f>"9781849437233"</f>
        <v>9781849437233</v>
      </c>
      <c r="T675">
        <v>895732423</v>
      </c>
    </row>
    <row r="676" spans="1:20" x14ac:dyDescent="0.25">
      <c r="A676">
        <v>1026119</v>
      </c>
      <c r="B676" t="s">
        <v>3393</v>
      </c>
      <c r="D676" t="s">
        <v>131</v>
      </c>
      <c r="E676" t="s">
        <v>669</v>
      </c>
      <c r="F676">
        <v>2011</v>
      </c>
      <c r="G676" t="s">
        <v>1130</v>
      </c>
      <c r="H676" t="s">
        <v>3394</v>
      </c>
      <c r="I676" t="s">
        <v>3395</v>
      </c>
      <c r="J676" t="s">
        <v>26</v>
      </c>
      <c r="K676" t="s">
        <v>48</v>
      </c>
      <c r="L676" t="b">
        <v>1</v>
      </c>
      <c r="M676" t="s">
        <v>2876</v>
      </c>
      <c r="N676" t="str">
        <f>"822.914"</f>
        <v>822.914</v>
      </c>
      <c r="P676" t="b">
        <v>1</v>
      </c>
      <c r="R676" t="str">
        <f>"9781849430265"</f>
        <v>9781849430265</v>
      </c>
      <c r="S676" t="str">
        <f>"9781849433181"</f>
        <v>9781849433181</v>
      </c>
      <c r="T676">
        <v>904207921</v>
      </c>
    </row>
    <row r="677" spans="1:20" x14ac:dyDescent="0.25">
      <c r="A677">
        <v>1026118</v>
      </c>
      <c r="B677" t="s">
        <v>3396</v>
      </c>
      <c r="D677" t="s">
        <v>131</v>
      </c>
      <c r="E677" t="s">
        <v>669</v>
      </c>
      <c r="F677">
        <v>2012</v>
      </c>
      <c r="G677" t="s">
        <v>695</v>
      </c>
      <c r="H677" t="s">
        <v>3397</v>
      </c>
      <c r="I677" t="s">
        <v>3367</v>
      </c>
      <c r="J677" t="s">
        <v>26</v>
      </c>
      <c r="K677" t="s">
        <v>48</v>
      </c>
      <c r="L677" t="b">
        <v>1</v>
      </c>
      <c r="M677" t="s">
        <v>3398</v>
      </c>
      <c r="N677" t="str">
        <f>"792.028023"</f>
        <v>792.028023</v>
      </c>
      <c r="O677" t="s">
        <v>3000</v>
      </c>
      <c r="P677" t="b">
        <v>0</v>
      </c>
      <c r="R677" t="str">
        <f>"9781849432153"</f>
        <v>9781849432153</v>
      </c>
      <c r="S677" t="str">
        <f>"9781849435857"</f>
        <v>9781849435857</v>
      </c>
      <c r="T677">
        <v>895727855</v>
      </c>
    </row>
    <row r="678" spans="1:20" x14ac:dyDescent="0.25">
      <c r="A678">
        <v>1026116</v>
      </c>
      <c r="B678" t="s">
        <v>3399</v>
      </c>
      <c r="D678" t="s">
        <v>131</v>
      </c>
      <c r="E678" t="s">
        <v>669</v>
      </c>
      <c r="F678">
        <v>2012</v>
      </c>
      <c r="G678" t="s">
        <v>1130</v>
      </c>
      <c r="H678" t="s">
        <v>3400</v>
      </c>
      <c r="J678" t="s">
        <v>26</v>
      </c>
      <c r="K678" t="s">
        <v>48</v>
      </c>
      <c r="L678" t="b">
        <v>1</v>
      </c>
      <c r="M678" t="s">
        <v>3401</v>
      </c>
      <c r="N678" t="str">
        <f>"862/.3"</f>
        <v>862/.3</v>
      </c>
      <c r="O678" t="s">
        <v>912</v>
      </c>
      <c r="P678" t="b">
        <v>1</v>
      </c>
      <c r="R678" t="str">
        <f>"9780948230233"</f>
        <v>9780948230233</v>
      </c>
      <c r="S678" t="str">
        <f>"9781849437851"</f>
        <v>9781849437851</v>
      </c>
      <c r="T678">
        <v>984343107</v>
      </c>
    </row>
    <row r="679" spans="1:20" x14ac:dyDescent="0.25">
      <c r="A679">
        <v>1026115</v>
      </c>
      <c r="B679" t="s">
        <v>3402</v>
      </c>
      <c r="C679" t="s">
        <v>3403</v>
      </c>
      <c r="D679" t="s">
        <v>131</v>
      </c>
      <c r="E679" t="s">
        <v>669</v>
      </c>
      <c r="F679">
        <v>2012</v>
      </c>
      <c r="G679" t="s">
        <v>3027</v>
      </c>
      <c r="H679" t="s">
        <v>3404</v>
      </c>
      <c r="I679" t="s">
        <v>3405</v>
      </c>
      <c r="J679" t="s">
        <v>26</v>
      </c>
      <c r="K679" t="s">
        <v>48</v>
      </c>
      <c r="L679" t="b">
        <v>1</v>
      </c>
      <c r="M679" t="s">
        <v>3232</v>
      </c>
      <c r="N679" t="str">
        <f>"792.028d"</f>
        <v>792.028d</v>
      </c>
      <c r="P679" t="b">
        <v>0</v>
      </c>
      <c r="R679" t="str">
        <f>"9781849431712"</f>
        <v>9781849431712</v>
      </c>
      <c r="S679" t="str">
        <f>"9781849435376"</f>
        <v>9781849435376</v>
      </c>
      <c r="T679">
        <v>818862182</v>
      </c>
    </row>
    <row r="680" spans="1:20" x14ac:dyDescent="0.25">
      <c r="A680">
        <v>1026114</v>
      </c>
      <c r="B680" t="s">
        <v>3406</v>
      </c>
      <c r="D680" t="s">
        <v>131</v>
      </c>
      <c r="E680" t="s">
        <v>669</v>
      </c>
      <c r="F680">
        <v>2012</v>
      </c>
      <c r="G680" t="s">
        <v>1130</v>
      </c>
      <c r="H680" t="s">
        <v>3407</v>
      </c>
      <c r="J680" t="s">
        <v>26</v>
      </c>
      <c r="K680" t="s">
        <v>48</v>
      </c>
      <c r="L680" t="b">
        <v>1</v>
      </c>
      <c r="M680" t="s">
        <v>3408</v>
      </c>
      <c r="N680" t="str">
        <f>"823.914"</f>
        <v>823.914</v>
      </c>
      <c r="P680" t="b">
        <v>1</v>
      </c>
      <c r="R680" t="str">
        <f>"9781840027204"</f>
        <v>9781840027204</v>
      </c>
      <c r="S680" t="str">
        <f>"9781849436113"</f>
        <v>9781849436113</v>
      </c>
      <c r="T680">
        <v>870600678</v>
      </c>
    </row>
    <row r="681" spans="1:20" x14ac:dyDescent="0.25">
      <c r="A681">
        <v>1026111</v>
      </c>
      <c r="B681" t="s">
        <v>3409</v>
      </c>
      <c r="D681" t="s">
        <v>131</v>
      </c>
      <c r="E681" t="s">
        <v>669</v>
      </c>
      <c r="F681">
        <v>2011</v>
      </c>
      <c r="G681" t="s">
        <v>1130</v>
      </c>
      <c r="H681" t="s">
        <v>3410</v>
      </c>
      <c r="I681" t="s">
        <v>3411</v>
      </c>
      <c r="J681" t="s">
        <v>26</v>
      </c>
      <c r="K681" t="s">
        <v>48</v>
      </c>
      <c r="L681" t="b">
        <v>1</v>
      </c>
      <c r="M681" t="s">
        <v>3412</v>
      </c>
      <c r="N681" t="str">
        <f>"822.92"</f>
        <v>822.92</v>
      </c>
      <c r="O681" t="s">
        <v>912</v>
      </c>
      <c r="P681" t="b">
        <v>1</v>
      </c>
      <c r="R681" t="str">
        <f>"9781849431316"</f>
        <v>9781849431316</v>
      </c>
      <c r="S681" t="str">
        <f>"9781849436618"</f>
        <v>9781849436618</v>
      </c>
      <c r="T681">
        <v>904207872</v>
      </c>
    </row>
    <row r="682" spans="1:20" x14ac:dyDescent="0.25">
      <c r="A682">
        <v>1026109</v>
      </c>
      <c r="B682" t="s">
        <v>3413</v>
      </c>
      <c r="D682" t="s">
        <v>131</v>
      </c>
      <c r="E682" t="s">
        <v>669</v>
      </c>
      <c r="F682">
        <v>2012</v>
      </c>
      <c r="G682" t="s">
        <v>1130</v>
      </c>
      <c r="H682" t="s">
        <v>3414</v>
      </c>
      <c r="I682" t="s">
        <v>1257</v>
      </c>
      <c r="J682" t="s">
        <v>26</v>
      </c>
      <c r="K682" t="s">
        <v>48</v>
      </c>
      <c r="L682" t="b">
        <v>1</v>
      </c>
      <c r="M682" t="s">
        <v>3415</v>
      </c>
      <c r="N682" t="str">
        <f>"822/.92"</f>
        <v>822/.92</v>
      </c>
      <c r="O682" t="s">
        <v>764</v>
      </c>
      <c r="P682" t="b">
        <v>1</v>
      </c>
      <c r="R682" t="str">
        <f>"9781849431095"</f>
        <v>9781849431095</v>
      </c>
      <c r="S682" t="str">
        <f>"9781849435192"</f>
        <v>9781849435192</v>
      </c>
      <c r="T682">
        <v>818865322</v>
      </c>
    </row>
    <row r="683" spans="1:20" x14ac:dyDescent="0.25">
      <c r="A683">
        <v>1026108</v>
      </c>
      <c r="B683" t="s">
        <v>3416</v>
      </c>
      <c r="D683" t="s">
        <v>131</v>
      </c>
      <c r="E683" t="s">
        <v>669</v>
      </c>
      <c r="F683">
        <v>2011</v>
      </c>
      <c r="G683" t="s">
        <v>1130</v>
      </c>
      <c r="H683" t="s">
        <v>3417</v>
      </c>
      <c r="I683" t="s">
        <v>3418</v>
      </c>
      <c r="J683" t="s">
        <v>26</v>
      </c>
      <c r="K683" t="s">
        <v>48</v>
      </c>
      <c r="L683" t="b">
        <v>1</v>
      </c>
      <c r="M683" t="s">
        <v>3419</v>
      </c>
      <c r="N683" t="str">
        <f>"822.3"</f>
        <v>822.3</v>
      </c>
      <c r="O683" t="s">
        <v>912</v>
      </c>
      <c r="P683" t="b">
        <v>1</v>
      </c>
      <c r="R683" t="str">
        <f>"9781849430302"</f>
        <v>9781849430302</v>
      </c>
      <c r="S683" t="str">
        <f>"9781849432702"</f>
        <v>9781849432702</v>
      </c>
      <c r="T683">
        <v>904113965</v>
      </c>
    </row>
    <row r="684" spans="1:20" x14ac:dyDescent="0.25">
      <c r="A684">
        <v>1026106</v>
      </c>
      <c r="B684" t="s">
        <v>3420</v>
      </c>
      <c r="D684" t="s">
        <v>131</v>
      </c>
      <c r="E684" t="s">
        <v>669</v>
      </c>
      <c r="F684">
        <v>2001</v>
      </c>
      <c r="G684" t="s">
        <v>1130</v>
      </c>
      <c r="H684" t="s">
        <v>3421</v>
      </c>
      <c r="I684" t="s">
        <v>3422</v>
      </c>
      <c r="J684" t="s">
        <v>26</v>
      </c>
      <c r="K684" t="s">
        <v>48</v>
      </c>
      <c r="L684" t="b">
        <v>1</v>
      </c>
      <c r="M684" t="s">
        <v>3423</v>
      </c>
      <c r="N684" t="str">
        <f>"822/.914"</f>
        <v>822/.914</v>
      </c>
      <c r="O684" t="s">
        <v>3013</v>
      </c>
      <c r="P684" t="b">
        <v>1</v>
      </c>
      <c r="R684" t="str">
        <f>"9781840021790"</f>
        <v>9781840021790</v>
      </c>
      <c r="S684" t="str">
        <f>"9781849439701"</f>
        <v>9781849439701</v>
      </c>
      <c r="T684">
        <v>606607071</v>
      </c>
    </row>
    <row r="685" spans="1:20" x14ac:dyDescent="0.25">
      <c r="A685">
        <v>1026105</v>
      </c>
      <c r="B685" t="s">
        <v>3424</v>
      </c>
      <c r="D685" t="s">
        <v>131</v>
      </c>
      <c r="E685" t="s">
        <v>669</v>
      </c>
      <c r="F685">
        <v>2012</v>
      </c>
      <c r="G685" t="s">
        <v>1130</v>
      </c>
      <c r="H685" t="s">
        <v>3425</v>
      </c>
      <c r="I685" t="s">
        <v>3426</v>
      </c>
      <c r="J685" t="s">
        <v>26</v>
      </c>
      <c r="K685" t="s">
        <v>48</v>
      </c>
      <c r="L685" t="b">
        <v>1</v>
      </c>
      <c r="M685" t="s">
        <v>3427</v>
      </c>
      <c r="N685" t="str">
        <f>"822/.914"</f>
        <v>822/.914</v>
      </c>
      <c r="O685" t="s">
        <v>912</v>
      </c>
      <c r="P685" t="b">
        <v>1</v>
      </c>
      <c r="R685" t="str">
        <f>"9781849434874"</f>
        <v>9781849434874</v>
      </c>
      <c r="S685" t="str">
        <f>"9781849435918"</f>
        <v>9781849435918</v>
      </c>
      <c r="T685">
        <v>903049665</v>
      </c>
    </row>
    <row r="686" spans="1:20" x14ac:dyDescent="0.25">
      <c r="A686">
        <v>1026104</v>
      </c>
      <c r="B686" t="s">
        <v>3428</v>
      </c>
      <c r="D686" t="s">
        <v>131</v>
      </c>
      <c r="E686" t="s">
        <v>669</v>
      </c>
      <c r="F686">
        <v>2012</v>
      </c>
      <c r="G686" t="s">
        <v>1130</v>
      </c>
      <c r="H686" t="s">
        <v>3429</v>
      </c>
      <c r="I686" t="s">
        <v>2899</v>
      </c>
      <c r="J686" t="s">
        <v>26</v>
      </c>
      <c r="K686" t="s">
        <v>48</v>
      </c>
      <c r="L686" t="b">
        <v>1</v>
      </c>
      <c r="M686" t="s">
        <v>1349</v>
      </c>
      <c r="N686" t="str">
        <f>"822.912"</f>
        <v>822.912</v>
      </c>
      <c r="P686" t="b">
        <v>1</v>
      </c>
      <c r="R686" t="str">
        <f>"9781849435000"</f>
        <v>9781849435000</v>
      </c>
      <c r="S686" t="str">
        <f>"9781849435727"</f>
        <v>9781849435727</v>
      </c>
      <c r="T686">
        <v>903603546</v>
      </c>
    </row>
    <row r="687" spans="1:20" x14ac:dyDescent="0.25">
      <c r="A687">
        <v>1026103</v>
      </c>
      <c r="B687" t="s">
        <v>3430</v>
      </c>
      <c r="D687" t="s">
        <v>131</v>
      </c>
      <c r="E687" t="s">
        <v>669</v>
      </c>
      <c r="F687">
        <v>2012</v>
      </c>
      <c r="G687" t="s">
        <v>1130</v>
      </c>
      <c r="H687" t="s">
        <v>3431</v>
      </c>
      <c r="I687" t="s">
        <v>3432</v>
      </c>
      <c r="J687" t="s">
        <v>26</v>
      </c>
      <c r="K687" t="s">
        <v>48</v>
      </c>
      <c r="L687" t="b">
        <v>1</v>
      </c>
      <c r="M687" t="s">
        <v>3433</v>
      </c>
      <c r="N687" t="str">
        <f>"822/.92"</f>
        <v>822/.92</v>
      </c>
      <c r="O687" t="s">
        <v>2855</v>
      </c>
      <c r="P687" t="b">
        <v>1</v>
      </c>
      <c r="R687" t="str">
        <f>"9781849431507"</f>
        <v>9781849431507</v>
      </c>
      <c r="S687" t="str">
        <f>"9781849435543"</f>
        <v>9781849435543</v>
      </c>
      <c r="T687">
        <v>903055025</v>
      </c>
    </row>
    <row r="688" spans="1:20" x14ac:dyDescent="0.25">
      <c r="A688">
        <v>1026099</v>
      </c>
      <c r="B688" t="s">
        <v>3434</v>
      </c>
      <c r="D688" t="s">
        <v>131</v>
      </c>
      <c r="E688" t="s">
        <v>669</v>
      </c>
      <c r="F688">
        <v>2012</v>
      </c>
      <c r="G688" t="s">
        <v>1130</v>
      </c>
      <c r="H688" t="s">
        <v>3435</v>
      </c>
      <c r="I688" t="s">
        <v>3436</v>
      </c>
      <c r="J688" t="s">
        <v>26</v>
      </c>
      <c r="K688" t="s">
        <v>48</v>
      </c>
      <c r="L688" t="b">
        <v>1</v>
      </c>
      <c r="M688" t="s">
        <v>3437</v>
      </c>
      <c r="N688" t="str">
        <f>"822/.92"</f>
        <v>822/.92</v>
      </c>
      <c r="O688" t="s">
        <v>912</v>
      </c>
      <c r="P688" t="b">
        <v>1</v>
      </c>
      <c r="R688" t="str">
        <f>"9781849434997"</f>
        <v>9781849434997</v>
      </c>
      <c r="S688" t="str">
        <f>"9781849435895"</f>
        <v>9781849435895</v>
      </c>
      <c r="T688">
        <v>903603547</v>
      </c>
    </row>
    <row r="689" spans="1:20" x14ac:dyDescent="0.25">
      <c r="A689">
        <v>1026097</v>
      </c>
      <c r="B689" t="s">
        <v>3438</v>
      </c>
      <c r="D689" t="s">
        <v>131</v>
      </c>
      <c r="E689" t="s">
        <v>669</v>
      </c>
      <c r="F689">
        <v>2012</v>
      </c>
      <c r="G689" t="s">
        <v>1130</v>
      </c>
      <c r="H689" t="s">
        <v>3439</v>
      </c>
      <c r="I689" t="s">
        <v>3440</v>
      </c>
      <c r="J689" t="s">
        <v>26</v>
      </c>
      <c r="K689" t="s">
        <v>48</v>
      </c>
      <c r="L689" t="b">
        <v>1</v>
      </c>
      <c r="M689" t="s">
        <v>3441</v>
      </c>
      <c r="N689" t="str">
        <f>"822.91"</f>
        <v>822.91</v>
      </c>
      <c r="O689" t="s">
        <v>912</v>
      </c>
      <c r="P689" t="b">
        <v>1</v>
      </c>
      <c r="R689" t="str">
        <f>"9781849432498"</f>
        <v>9781849432498</v>
      </c>
      <c r="S689" t="str">
        <f>"9781849432566"</f>
        <v>9781849432566</v>
      </c>
      <c r="T689">
        <v>903055350</v>
      </c>
    </row>
    <row r="690" spans="1:20" x14ac:dyDescent="0.25">
      <c r="A690">
        <v>1026095</v>
      </c>
      <c r="B690" t="s">
        <v>3442</v>
      </c>
      <c r="C690" t="s">
        <v>3443</v>
      </c>
      <c r="D690" t="s">
        <v>131</v>
      </c>
      <c r="E690" t="s">
        <v>669</v>
      </c>
      <c r="F690">
        <v>2007</v>
      </c>
      <c r="G690" t="s">
        <v>3181</v>
      </c>
      <c r="H690" t="s">
        <v>3444</v>
      </c>
      <c r="I690" t="s">
        <v>3445</v>
      </c>
      <c r="J690" t="s">
        <v>26</v>
      </c>
      <c r="K690" t="s">
        <v>48</v>
      </c>
      <c r="L690" t="b">
        <v>1</v>
      </c>
      <c r="M690" t="s">
        <v>3184</v>
      </c>
      <c r="N690" t="str">
        <f>"210"</f>
        <v>210</v>
      </c>
      <c r="P690" t="b">
        <v>0</v>
      </c>
      <c r="R690" t="str">
        <f>"9781840027280"</f>
        <v>9781840027280</v>
      </c>
      <c r="S690" t="str">
        <f>"9781849433112"</f>
        <v>9781849433112</v>
      </c>
      <c r="T690">
        <v>858879104</v>
      </c>
    </row>
    <row r="691" spans="1:20" x14ac:dyDescent="0.25">
      <c r="A691">
        <v>1026093</v>
      </c>
      <c r="B691" t="s">
        <v>3446</v>
      </c>
      <c r="D691" t="s">
        <v>131</v>
      </c>
      <c r="E691" t="s">
        <v>669</v>
      </c>
      <c r="F691">
        <v>2012</v>
      </c>
      <c r="G691" t="s">
        <v>1130</v>
      </c>
      <c r="H691" t="s">
        <v>3447</v>
      </c>
      <c r="I691" t="s">
        <v>1257</v>
      </c>
      <c r="J691" t="s">
        <v>26</v>
      </c>
      <c r="K691" t="s">
        <v>48</v>
      </c>
      <c r="L691" t="b">
        <v>1</v>
      </c>
      <c r="M691" t="s">
        <v>2900</v>
      </c>
      <c r="N691" t="str">
        <f>"822/.914"</f>
        <v>822/.914</v>
      </c>
      <c r="O691" t="s">
        <v>764</v>
      </c>
      <c r="P691" t="b">
        <v>1</v>
      </c>
      <c r="R691" t="str">
        <f>"9781840028898"</f>
        <v>9781840028898</v>
      </c>
      <c r="S691" t="str">
        <f>"9781849435956"</f>
        <v>9781849435956</v>
      </c>
      <c r="T691">
        <v>818873156</v>
      </c>
    </row>
    <row r="692" spans="1:20" x14ac:dyDescent="0.25">
      <c r="A692">
        <v>1026091</v>
      </c>
      <c r="B692" t="s">
        <v>3448</v>
      </c>
      <c r="D692" t="s">
        <v>131</v>
      </c>
      <c r="E692" t="s">
        <v>669</v>
      </c>
      <c r="F692">
        <v>2008</v>
      </c>
      <c r="G692" t="s">
        <v>1130</v>
      </c>
      <c r="H692" t="s">
        <v>3130</v>
      </c>
      <c r="I692" t="s">
        <v>1257</v>
      </c>
      <c r="J692" t="s">
        <v>26</v>
      </c>
      <c r="K692" t="s">
        <v>48</v>
      </c>
      <c r="L692" t="b">
        <v>1</v>
      </c>
      <c r="M692" t="s">
        <v>1267</v>
      </c>
      <c r="N692" t="str">
        <f>"822/.914"</f>
        <v>822/.914</v>
      </c>
      <c r="O692" t="s">
        <v>764</v>
      </c>
      <c r="P692" t="b">
        <v>1</v>
      </c>
      <c r="R692" t="str">
        <f>"9781840026764"</f>
        <v>9781840026764</v>
      </c>
      <c r="S692" t="str">
        <f>"9781849433631"</f>
        <v>9781849433631</v>
      </c>
      <c r="T692">
        <v>904958155</v>
      </c>
    </row>
    <row r="693" spans="1:20" x14ac:dyDescent="0.25">
      <c r="A693">
        <v>1026089</v>
      </c>
      <c r="B693" t="s">
        <v>3449</v>
      </c>
      <c r="D693" t="s">
        <v>131</v>
      </c>
      <c r="E693" t="s">
        <v>669</v>
      </c>
      <c r="F693">
        <v>2012</v>
      </c>
      <c r="G693" t="s">
        <v>1130</v>
      </c>
      <c r="H693" t="s">
        <v>3450</v>
      </c>
      <c r="I693" t="s">
        <v>3451</v>
      </c>
      <c r="J693" t="s">
        <v>26</v>
      </c>
      <c r="K693" t="s">
        <v>48</v>
      </c>
      <c r="L693" t="b">
        <v>1</v>
      </c>
      <c r="M693" t="s">
        <v>3452</v>
      </c>
      <c r="N693" t="str">
        <f>"822/.92"</f>
        <v>822/.92</v>
      </c>
      <c r="O693" t="s">
        <v>912</v>
      </c>
      <c r="P693" t="b">
        <v>1</v>
      </c>
      <c r="R693" t="str">
        <f>"9781849434737"</f>
        <v>9781849434737</v>
      </c>
      <c r="S693" t="str">
        <f>"9781849437455"</f>
        <v>9781849437455</v>
      </c>
      <c r="T693">
        <v>903055218</v>
      </c>
    </row>
    <row r="694" spans="1:20" x14ac:dyDescent="0.25">
      <c r="A694">
        <v>1026087</v>
      </c>
      <c r="B694" t="s">
        <v>3453</v>
      </c>
      <c r="D694" t="s">
        <v>131</v>
      </c>
      <c r="E694" t="s">
        <v>669</v>
      </c>
      <c r="F694">
        <v>2012</v>
      </c>
      <c r="G694" t="s">
        <v>1130</v>
      </c>
      <c r="H694" t="s">
        <v>3114</v>
      </c>
      <c r="I694" t="s">
        <v>3454</v>
      </c>
      <c r="J694" t="s">
        <v>26</v>
      </c>
      <c r="K694" t="s">
        <v>48</v>
      </c>
      <c r="L694" t="b">
        <v>1</v>
      </c>
      <c r="M694" t="s">
        <v>3034</v>
      </c>
      <c r="N694" t="str">
        <f>"822.914"</f>
        <v>822.914</v>
      </c>
      <c r="P694" t="b">
        <v>1</v>
      </c>
      <c r="R694" t="str">
        <f>"9781840024647"</f>
        <v>9781840024647</v>
      </c>
      <c r="S694" t="str">
        <f>"9781849433648"</f>
        <v>9781849433648</v>
      </c>
      <c r="T694">
        <v>870600517</v>
      </c>
    </row>
    <row r="695" spans="1:20" x14ac:dyDescent="0.25">
      <c r="A695">
        <v>1026085</v>
      </c>
      <c r="B695" t="s">
        <v>3455</v>
      </c>
      <c r="D695" t="s">
        <v>131</v>
      </c>
      <c r="E695" t="s">
        <v>669</v>
      </c>
      <c r="F695">
        <v>2011</v>
      </c>
      <c r="G695" t="s">
        <v>1130</v>
      </c>
      <c r="H695" t="s">
        <v>3456</v>
      </c>
      <c r="I695" t="s">
        <v>3457</v>
      </c>
      <c r="J695" t="s">
        <v>26</v>
      </c>
      <c r="K695" t="s">
        <v>48</v>
      </c>
      <c r="L695" t="b">
        <v>1</v>
      </c>
      <c r="M695" t="s">
        <v>3458</v>
      </c>
      <c r="N695" t="str">
        <f>"809.2"</f>
        <v>809.2</v>
      </c>
      <c r="O695" t="s">
        <v>912</v>
      </c>
      <c r="P695" t="b">
        <v>1</v>
      </c>
      <c r="R695" t="str">
        <f>"9781849430128"</f>
        <v>9781849430128</v>
      </c>
      <c r="S695" t="str">
        <f>"9781849433501"</f>
        <v>9781849433501</v>
      </c>
      <c r="T695">
        <v>904397180</v>
      </c>
    </row>
    <row r="696" spans="1:20" x14ac:dyDescent="0.25">
      <c r="A696">
        <v>1026084</v>
      </c>
      <c r="B696" t="s">
        <v>3459</v>
      </c>
      <c r="D696" t="s">
        <v>131</v>
      </c>
      <c r="E696" t="s">
        <v>669</v>
      </c>
      <c r="F696">
        <v>2011</v>
      </c>
      <c r="G696" t="s">
        <v>1130</v>
      </c>
      <c r="H696" t="s">
        <v>3460</v>
      </c>
      <c r="I696" t="s">
        <v>3461</v>
      </c>
      <c r="J696" t="s">
        <v>26</v>
      </c>
      <c r="K696" t="s">
        <v>48</v>
      </c>
      <c r="L696" t="b">
        <v>1</v>
      </c>
      <c r="M696" t="s">
        <v>3462</v>
      </c>
      <c r="N696" t="str">
        <f>"822/.914"</f>
        <v>822/.914</v>
      </c>
      <c r="O696" t="s">
        <v>912</v>
      </c>
      <c r="P696" t="b">
        <v>1</v>
      </c>
      <c r="R696" t="str">
        <f>"9781849431613"</f>
        <v>9781849431613</v>
      </c>
      <c r="S696" t="str">
        <f>"9781849432634"</f>
        <v>9781849432634</v>
      </c>
      <c r="T696">
        <v>828150662</v>
      </c>
    </row>
    <row r="697" spans="1:20" x14ac:dyDescent="0.25">
      <c r="A697">
        <v>1026080</v>
      </c>
      <c r="B697" t="s">
        <v>3463</v>
      </c>
      <c r="D697" t="s">
        <v>131</v>
      </c>
      <c r="E697" t="s">
        <v>669</v>
      </c>
      <c r="F697">
        <v>2012</v>
      </c>
      <c r="G697" t="s">
        <v>1130</v>
      </c>
      <c r="H697" t="s">
        <v>3464</v>
      </c>
      <c r="I697" t="s">
        <v>3465</v>
      </c>
      <c r="J697" t="s">
        <v>26</v>
      </c>
      <c r="K697" t="s">
        <v>48</v>
      </c>
      <c r="L697" t="b">
        <v>1</v>
      </c>
      <c r="M697" t="s">
        <v>1254</v>
      </c>
      <c r="N697" t="str">
        <f>"822.92"</f>
        <v>822.92</v>
      </c>
      <c r="O697" t="s">
        <v>912</v>
      </c>
      <c r="P697" t="b">
        <v>1</v>
      </c>
      <c r="R697" t="str">
        <f>"9781849434676"</f>
        <v>9781849434676</v>
      </c>
      <c r="S697" t="str">
        <f>"9781849436991"</f>
        <v>9781849436991</v>
      </c>
      <c r="T697">
        <v>895729245</v>
      </c>
    </row>
    <row r="698" spans="1:20" x14ac:dyDescent="0.25">
      <c r="A698">
        <v>1026079</v>
      </c>
      <c r="B698" t="s">
        <v>3466</v>
      </c>
      <c r="C698" t="s">
        <v>3467</v>
      </c>
      <c r="D698" t="s">
        <v>131</v>
      </c>
      <c r="E698" t="s">
        <v>669</v>
      </c>
      <c r="F698">
        <v>2012</v>
      </c>
      <c r="G698" t="s">
        <v>2771</v>
      </c>
      <c r="H698" t="s">
        <v>3468</v>
      </c>
      <c r="I698" t="s">
        <v>3469</v>
      </c>
      <c r="J698" t="s">
        <v>26</v>
      </c>
      <c r="K698" t="s">
        <v>48</v>
      </c>
      <c r="L698" t="b">
        <v>1</v>
      </c>
      <c r="M698" t="s">
        <v>3470</v>
      </c>
      <c r="N698" t="str">
        <f>"808.042"</f>
        <v>808.042</v>
      </c>
      <c r="P698" t="b">
        <v>0</v>
      </c>
      <c r="R698" t="str">
        <f>"9781849431118"</f>
        <v>9781849431118</v>
      </c>
      <c r="S698" t="str">
        <f>"9781849433013"</f>
        <v>9781849433013</v>
      </c>
      <c r="T698">
        <v>870600657</v>
      </c>
    </row>
    <row r="699" spans="1:20" x14ac:dyDescent="0.25">
      <c r="A699">
        <v>1026078</v>
      </c>
      <c r="B699" t="s">
        <v>3471</v>
      </c>
      <c r="D699" t="s">
        <v>131</v>
      </c>
      <c r="E699" t="s">
        <v>669</v>
      </c>
      <c r="F699">
        <v>2012</v>
      </c>
      <c r="G699" t="s">
        <v>1130</v>
      </c>
      <c r="H699" t="s">
        <v>3472</v>
      </c>
      <c r="I699" t="s">
        <v>3473</v>
      </c>
      <c r="J699" t="s">
        <v>26</v>
      </c>
      <c r="K699" t="s">
        <v>48</v>
      </c>
      <c r="L699" t="b">
        <v>1</v>
      </c>
      <c r="M699" t="s">
        <v>3179</v>
      </c>
      <c r="N699" t="str">
        <f>"822.914"</f>
        <v>822.914</v>
      </c>
      <c r="P699" t="b">
        <v>1</v>
      </c>
      <c r="R699" t="str">
        <f>"9781840026177"</f>
        <v>9781840026177</v>
      </c>
      <c r="S699" t="str">
        <f>"9781849432054"</f>
        <v>9781849432054</v>
      </c>
      <c r="T699">
        <v>870600480</v>
      </c>
    </row>
    <row r="700" spans="1:20" x14ac:dyDescent="0.25">
      <c r="A700">
        <v>1026077</v>
      </c>
      <c r="B700" t="s">
        <v>3474</v>
      </c>
      <c r="D700" t="s">
        <v>131</v>
      </c>
      <c r="E700" t="s">
        <v>669</v>
      </c>
      <c r="F700">
        <v>2011</v>
      </c>
      <c r="G700" t="s">
        <v>1130</v>
      </c>
      <c r="H700" t="s">
        <v>3475</v>
      </c>
      <c r="I700" t="s">
        <v>3476</v>
      </c>
      <c r="J700" t="s">
        <v>26</v>
      </c>
      <c r="K700" t="s">
        <v>48</v>
      </c>
      <c r="L700" t="b">
        <v>1</v>
      </c>
      <c r="M700" t="s">
        <v>3477</v>
      </c>
      <c r="N700" t="str">
        <f>"822.92"</f>
        <v>822.92</v>
      </c>
      <c r="O700" t="s">
        <v>912</v>
      </c>
      <c r="P700" t="b">
        <v>1</v>
      </c>
      <c r="R700" t="str">
        <f>"9781849432290"</f>
        <v>9781849432290</v>
      </c>
      <c r="S700" t="str">
        <f>"9781849435765"</f>
        <v>9781849435765</v>
      </c>
      <c r="T700">
        <v>903910669</v>
      </c>
    </row>
    <row r="701" spans="1:20" x14ac:dyDescent="0.25">
      <c r="A701">
        <v>1026075</v>
      </c>
      <c r="B701" t="s">
        <v>3478</v>
      </c>
      <c r="D701" t="s">
        <v>131</v>
      </c>
      <c r="E701" t="s">
        <v>669</v>
      </c>
      <c r="F701">
        <v>2012</v>
      </c>
      <c r="G701" t="s">
        <v>1130</v>
      </c>
      <c r="H701" t="s">
        <v>3479</v>
      </c>
      <c r="I701" t="s">
        <v>3480</v>
      </c>
      <c r="J701" t="s">
        <v>26</v>
      </c>
      <c r="K701" t="s">
        <v>48</v>
      </c>
      <c r="L701" t="b">
        <v>1</v>
      </c>
      <c r="M701" t="s">
        <v>2876</v>
      </c>
      <c r="N701" t="str">
        <f>"782.812"</f>
        <v>782.812</v>
      </c>
      <c r="O701" t="s">
        <v>912</v>
      </c>
      <c r="P701" t="b">
        <v>1</v>
      </c>
      <c r="R701" t="str">
        <f>"9781849430791"</f>
        <v>9781849430791</v>
      </c>
      <c r="S701" t="str">
        <f>"9781849436571"</f>
        <v>9781849436571</v>
      </c>
      <c r="T701">
        <v>974270316</v>
      </c>
    </row>
    <row r="702" spans="1:20" x14ac:dyDescent="0.25">
      <c r="A702">
        <v>1026073</v>
      </c>
      <c r="B702" t="s">
        <v>3481</v>
      </c>
      <c r="D702" t="s">
        <v>131</v>
      </c>
      <c r="E702" t="s">
        <v>669</v>
      </c>
      <c r="F702">
        <v>2011</v>
      </c>
      <c r="G702" t="s">
        <v>1130</v>
      </c>
      <c r="H702" t="s">
        <v>3482</v>
      </c>
      <c r="I702" t="s">
        <v>3483</v>
      </c>
      <c r="J702" t="s">
        <v>26</v>
      </c>
      <c r="K702" t="s">
        <v>48</v>
      </c>
      <c r="L702" t="b">
        <v>1</v>
      </c>
      <c r="M702" t="s">
        <v>3484</v>
      </c>
      <c r="N702" t="str">
        <f>"862.7"</f>
        <v>862.7</v>
      </c>
      <c r="O702" t="s">
        <v>912</v>
      </c>
      <c r="P702" t="b">
        <v>1</v>
      </c>
      <c r="R702" t="str">
        <f>"9781849430890"</f>
        <v>9781849430890</v>
      </c>
      <c r="S702" t="str">
        <f>"9781849439268"</f>
        <v>9781849439268</v>
      </c>
      <c r="T702">
        <v>904207550</v>
      </c>
    </row>
    <row r="703" spans="1:20" x14ac:dyDescent="0.25">
      <c r="A703">
        <v>1026070</v>
      </c>
      <c r="B703" t="s">
        <v>3485</v>
      </c>
      <c r="D703" t="s">
        <v>131</v>
      </c>
      <c r="E703" t="s">
        <v>669</v>
      </c>
      <c r="F703">
        <v>2011</v>
      </c>
      <c r="G703" t="s">
        <v>1130</v>
      </c>
      <c r="H703" t="s">
        <v>3486</v>
      </c>
      <c r="I703" t="s">
        <v>2899</v>
      </c>
      <c r="J703" t="s">
        <v>26</v>
      </c>
      <c r="K703" t="s">
        <v>48</v>
      </c>
      <c r="L703" t="b">
        <v>1</v>
      </c>
      <c r="M703" t="s">
        <v>3487</v>
      </c>
      <c r="N703" t="str">
        <f>"822.914"</f>
        <v>822.914</v>
      </c>
      <c r="P703" t="b">
        <v>1</v>
      </c>
      <c r="R703" t="str">
        <f>"9781849430395"</f>
        <v>9781849430395</v>
      </c>
      <c r="S703" t="str">
        <f>"9781849436762"</f>
        <v>9781849436762</v>
      </c>
      <c r="T703">
        <v>903910685</v>
      </c>
    </row>
    <row r="704" spans="1:20" x14ac:dyDescent="0.25">
      <c r="A704">
        <v>1026069</v>
      </c>
      <c r="B704" t="s">
        <v>3488</v>
      </c>
      <c r="D704" t="s">
        <v>131</v>
      </c>
      <c r="E704" t="s">
        <v>669</v>
      </c>
      <c r="F704">
        <v>2012</v>
      </c>
      <c r="G704" t="s">
        <v>1130</v>
      </c>
      <c r="H704" t="s">
        <v>3489</v>
      </c>
      <c r="I704" t="s">
        <v>3490</v>
      </c>
      <c r="J704" t="s">
        <v>26</v>
      </c>
      <c r="K704" t="s">
        <v>48</v>
      </c>
      <c r="L704" t="b">
        <v>1</v>
      </c>
      <c r="M704" t="s">
        <v>3491</v>
      </c>
      <c r="N704" t="str">
        <f>"823/.92"</f>
        <v>823/.92</v>
      </c>
      <c r="O704" t="s">
        <v>912</v>
      </c>
      <c r="P704" t="b">
        <v>1</v>
      </c>
      <c r="R704" t="str">
        <f>"9781849433976"</f>
        <v>9781849433976</v>
      </c>
      <c r="S704" t="str">
        <f>"9781849437820"</f>
        <v>9781849437820</v>
      </c>
      <c r="T704">
        <v>895733069</v>
      </c>
    </row>
    <row r="705" spans="1:20" x14ac:dyDescent="0.25">
      <c r="A705">
        <v>1026064</v>
      </c>
      <c r="B705" t="s">
        <v>3492</v>
      </c>
      <c r="C705" t="s">
        <v>3493</v>
      </c>
      <c r="D705" t="s">
        <v>131</v>
      </c>
      <c r="E705" t="s">
        <v>669</v>
      </c>
      <c r="F705">
        <v>2012</v>
      </c>
      <c r="G705" t="s">
        <v>1130</v>
      </c>
      <c r="H705" t="s">
        <v>3494</v>
      </c>
      <c r="I705" t="s">
        <v>3495</v>
      </c>
      <c r="J705" t="s">
        <v>26</v>
      </c>
      <c r="K705" t="s">
        <v>48</v>
      </c>
      <c r="L705" t="b">
        <v>1</v>
      </c>
      <c r="M705" t="s">
        <v>3496</v>
      </c>
      <c r="N705" t="str">
        <f>"839.72/74"</f>
        <v>839.72/74</v>
      </c>
      <c r="P705" t="b">
        <v>1</v>
      </c>
      <c r="R705" t="str">
        <f>"9781840029284"</f>
        <v>9781840029284</v>
      </c>
      <c r="S705" t="str">
        <f>"9781849436274"</f>
        <v>9781849436274</v>
      </c>
      <c r="T705">
        <v>870600492</v>
      </c>
    </row>
    <row r="706" spans="1:20" x14ac:dyDescent="0.25">
      <c r="A706">
        <v>1026063</v>
      </c>
      <c r="B706" t="s">
        <v>3497</v>
      </c>
      <c r="D706" t="s">
        <v>131</v>
      </c>
      <c r="E706" t="s">
        <v>669</v>
      </c>
      <c r="F706">
        <v>2012</v>
      </c>
      <c r="G706" t="s">
        <v>1130</v>
      </c>
      <c r="H706" t="s">
        <v>3498</v>
      </c>
      <c r="I706" t="s">
        <v>1257</v>
      </c>
      <c r="J706" t="s">
        <v>26</v>
      </c>
      <c r="K706" t="s">
        <v>48</v>
      </c>
      <c r="L706" t="b">
        <v>1</v>
      </c>
      <c r="M706" t="s">
        <v>709</v>
      </c>
      <c r="N706" t="str">
        <f>"822/.92"</f>
        <v>822/.92</v>
      </c>
      <c r="O706" t="s">
        <v>912</v>
      </c>
      <c r="P706" t="b">
        <v>1</v>
      </c>
      <c r="R706" t="str">
        <f>"9781849434041"</f>
        <v>9781849434041</v>
      </c>
      <c r="S706" t="str">
        <f>"9781849435550"</f>
        <v>9781849435550</v>
      </c>
      <c r="T706">
        <v>870600612</v>
      </c>
    </row>
    <row r="707" spans="1:20" x14ac:dyDescent="0.25">
      <c r="A707">
        <v>1026061</v>
      </c>
      <c r="B707" t="s">
        <v>3499</v>
      </c>
      <c r="C707" t="s">
        <v>3500</v>
      </c>
      <c r="D707" t="s">
        <v>131</v>
      </c>
      <c r="E707" t="s">
        <v>669</v>
      </c>
      <c r="F707">
        <v>2012</v>
      </c>
      <c r="G707" t="s">
        <v>1130</v>
      </c>
      <c r="H707" t="s">
        <v>3501</v>
      </c>
      <c r="I707" t="s">
        <v>3502</v>
      </c>
      <c r="J707" t="s">
        <v>26</v>
      </c>
      <c r="K707" t="s">
        <v>48</v>
      </c>
      <c r="L707" t="b">
        <v>1</v>
      </c>
      <c r="M707" t="s">
        <v>3503</v>
      </c>
      <c r="N707" t="str">
        <f>"822/.914"</f>
        <v>822/.914</v>
      </c>
      <c r="O707" t="s">
        <v>912</v>
      </c>
      <c r="P707" t="b">
        <v>1</v>
      </c>
      <c r="R707" t="str">
        <f>"9781849431873"</f>
        <v>9781849431873</v>
      </c>
      <c r="S707" t="str">
        <f>"9781849436311"</f>
        <v>9781849436311</v>
      </c>
      <c r="T707">
        <v>895729014</v>
      </c>
    </row>
    <row r="708" spans="1:20" x14ac:dyDescent="0.25">
      <c r="A708">
        <v>1026059</v>
      </c>
      <c r="B708" t="s">
        <v>3504</v>
      </c>
      <c r="D708" t="s">
        <v>131</v>
      </c>
      <c r="E708" t="s">
        <v>669</v>
      </c>
      <c r="F708">
        <v>2012</v>
      </c>
      <c r="G708" t="s">
        <v>1130</v>
      </c>
      <c r="H708" t="s">
        <v>3505</v>
      </c>
      <c r="I708" t="s">
        <v>3506</v>
      </c>
      <c r="J708" t="s">
        <v>26</v>
      </c>
      <c r="K708" t="s">
        <v>48</v>
      </c>
      <c r="L708" t="b">
        <v>1</v>
      </c>
      <c r="M708" t="s">
        <v>3507</v>
      </c>
      <c r="N708" t="str">
        <f>"808.222"</f>
        <v>808.222</v>
      </c>
      <c r="O708" t="s">
        <v>3000</v>
      </c>
      <c r="P708" t="b">
        <v>1</v>
      </c>
      <c r="R708" t="str">
        <f>"9781849431026"</f>
        <v>9781849431026</v>
      </c>
      <c r="S708" t="str">
        <f>"9781849433280"</f>
        <v>9781849433280</v>
      </c>
      <c r="T708">
        <v>949884181</v>
      </c>
    </row>
    <row r="709" spans="1:20" x14ac:dyDescent="0.25">
      <c r="A709">
        <v>1026058</v>
      </c>
      <c r="B709" t="s">
        <v>3508</v>
      </c>
      <c r="D709" t="s">
        <v>131</v>
      </c>
      <c r="E709" t="s">
        <v>669</v>
      </c>
      <c r="F709">
        <v>2009</v>
      </c>
      <c r="G709" t="s">
        <v>3509</v>
      </c>
      <c r="H709" t="s">
        <v>3510</v>
      </c>
      <c r="I709" t="s">
        <v>3511</v>
      </c>
      <c r="J709" t="s">
        <v>26</v>
      </c>
      <c r="K709" t="s">
        <v>48</v>
      </c>
      <c r="L709" t="b">
        <v>1</v>
      </c>
      <c r="M709" t="s">
        <v>3512</v>
      </c>
      <c r="N709" t="str">
        <f>"822.912"</f>
        <v>822.912</v>
      </c>
      <c r="P709" t="b">
        <v>0</v>
      </c>
      <c r="R709" t="str">
        <f>"9781840028386"</f>
        <v>9781840028386</v>
      </c>
      <c r="S709" t="str">
        <f>"9781849432672"</f>
        <v>9781849432672</v>
      </c>
      <c r="T709">
        <v>859328410</v>
      </c>
    </row>
    <row r="710" spans="1:20" x14ac:dyDescent="0.25">
      <c r="A710">
        <v>1026057</v>
      </c>
      <c r="B710" t="s">
        <v>3513</v>
      </c>
      <c r="D710" t="s">
        <v>131</v>
      </c>
      <c r="E710" t="s">
        <v>669</v>
      </c>
      <c r="F710">
        <v>2012</v>
      </c>
      <c r="G710" t="s">
        <v>1130</v>
      </c>
      <c r="H710" t="s">
        <v>3514</v>
      </c>
      <c r="I710" t="s">
        <v>3515</v>
      </c>
      <c r="J710" t="s">
        <v>26</v>
      </c>
      <c r="K710" t="s">
        <v>48</v>
      </c>
      <c r="L710" t="b">
        <v>1</v>
      </c>
      <c r="M710" t="s">
        <v>3516</v>
      </c>
      <c r="N710" t="str">
        <f>"822.914"</f>
        <v>822.914</v>
      </c>
      <c r="O710" t="s">
        <v>912</v>
      </c>
      <c r="P710" t="b">
        <v>1</v>
      </c>
      <c r="R710" t="str">
        <f>"9781849431392"</f>
        <v>9781849431392</v>
      </c>
      <c r="S710" t="str">
        <f>"9781849432665"</f>
        <v>9781849432665</v>
      </c>
      <c r="T710">
        <v>895726444</v>
      </c>
    </row>
    <row r="711" spans="1:20" x14ac:dyDescent="0.25">
      <c r="A711">
        <v>1026055</v>
      </c>
      <c r="B711" t="s">
        <v>3517</v>
      </c>
      <c r="C711" t="s">
        <v>3518</v>
      </c>
      <c r="D711" t="s">
        <v>131</v>
      </c>
      <c r="E711" t="s">
        <v>669</v>
      </c>
      <c r="F711">
        <v>2012</v>
      </c>
      <c r="G711" t="s">
        <v>1130</v>
      </c>
      <c r="H711" t="s">
        <v>3519</v>
      </c>
      <c r="J711" t="s">
        <v>26</v>
      </c>
      <c r="K711" t="s">
        <v>48</v>
      </c>
      <c r="L711" t="b">
        <v>1</v>
      </c>
      <c r="M711" t="s">
        <v>3520</v>
      </c>
      <c r="N711" t="str">
        <f>"823/.914"</f>
        <v>823/.914</v>
      </c>
      <c r="O711" t="s">
        <v>912</v>
      </c>
      <c r="P711" t="b">
        <v>1</v>
      </c>
      <c r="R711" t="str">
        <f>"9781849434331"</f>
        <v>9781849434331</v>
      </c>
      <c r="S711" t="str">
        <f>"9781849432696"</f>
        <v>9781849432696</v>
      </c>
      <c r="T711">
        <v>895726445</v>
      </c>
    </row>
    <row r="712" spans="1:20" x14ac:dyDescent="0.25">
      <c r="A712">
        <v>1026053</v>
      </c>
      <c r="B712" t="s">
        <v>3521</v>
      </c>
      <c r="D712" t="s">
        <v>131</v>
      </c>
      <c r="E712" t="s">
        <v>669</v>
      </c>
      <c r="F712">
        <v>2012</v>
      </c>
      <c r="G712" t="s">
        <v>1130</v>
      </c>
      <c r="H712" t="s">
        <v>3522</v>
      </c>
      <c r="I712" t="s">
        <v>3523</v>
      </c>
      <c r="J712" t="s">
        <v>26</v>
      </c>
      <c r="K712" t="s">
        <v>48</v>
      </c>
      <c r="L712" t="b">
        <v>1</v>
      </c>
      <c r="M712" t="s">
        <v>3524</v>
      </c>
      <c r="N712" t="str">
        <f>"822/.914"</f>
        <v>822/.914</v>
      </c>
      <c r="O712" t="s">
        <v>764</v>
      </c>
      <c r="P712" t="b">
        <v>1</v>
      </c>
      <c r="R712" t="str">
        <f>"9781870259408"</f>
        <v>9781870259408</v>
      </c>
      <c r="S712" t="str">
        <f>"9781849438339"</f>
        <v>9781849438339</v>
      </c>
      <c r="T712">
        <v>870600407</v>
      </c>
    </row>
    <row r="713" spans="1:20" x14ac:dyDescent="0.25">
      <c r="A713">
        <v>1026052</v>
      </c>
      <c r="B713" t="s">
        <v>3525</v>
      </c>
      <c r="C713" t="s">
        <v>3526</v>
      </c>
      <c r="D713" t="s">
        <v>131</v>
      </c>
      <c r="E713" t="s">
        <v>669</v>
      </c>
      <c r="F713">
        <v>2012</v>
      </c>
      <c r="G713" t="s">
        <v>1130</v>
      </c>
      <c r="H713" t="s">
        <v>3527</v>
      </c>
      <c r="I713" t="s">
        <v>3528</v>
      </c>
      <c r="J713" t="s">
        <v>26</v>
      </c>
      <c r="K713" t="s">
        <v>48</v>
      </c>
      <c r="L713" t="b">
        <v>1</v>
      </c>
      <c r="M713" t="s">
        <v>3529</v>
      </c>
      <c r="N713" t="str">
        <f>"822.33"</f>
        <v>822.33</v>
      </c>
      <c r="O713" t="s">
        <v>3526</v>
      </c>
      <c r="P713" t="b">
        <v>1</v>
      </c>
      <c r="R713" t="str">
        <f>"9781849434508"</f>
        <v>9781849434508</v>
      </c>
      <c r="S713" t="str">
        <f>"9781849437547"</f>
        <v>9781849437547</v>
      </c>
      <c r="T713">
        <v>895732434</v>
      </c>
    </row>
    <row r="714" spans="1:20" x14ac:dyDescent="0.25">
      <c r="A714">
        <v>1026051</v>
      </c>
      <c r="B714" t="s">
        <v>3530</v>
      </c>
      <c r="D714" t="s">
        <v>131</v>
      </c>
      <c r="E714" t="s">
        <v>669</v>
      </c>
      <c r="F714">
        <v>2012</v>
      </c>
      <c r="G714" t="s">
        <v>1130</v>
      </c>
      <c r="H714" t="s">
        <v>3531</v>
      </c>
      <c r="I714" t="s">
        <v>3532</v>
      </c>
      <c r="J714" t="s">
        <v>26</v>
      </c>
      <c r="K714" t="s">
        <v>48</v>
      </c>
      <c r="L714" t="b">
        <v>1</v>
      </c>
      <c r="M714" t="s">
        <v>3533</v>
      </c>
      <c r="N714" t="str">
        <f>"822.6"</f>
        <v>822.6</v>
      </c>
      <c r="P714" t="b">
        <v>1</v>
      </c>
      <c r="R714" t="str">
        <f>"9781840026818"</f>
        <v>9781840026818</v>
      </c>
      <c r="S714" t="str">
        <f>"9781849433235"</f>
        <v>9781849433235</v>
      </c>
      <c r="T714">
        <v>870600564</v>
      </c>
    </row>
    <row r="715" spans="1:20" x14ac:dyDescent="0.25">
      <c r="A715">
        <v>1026050</v>
      </c>
      <c r="B715" t="s">
        <v>3534</v>
      </c>
      <c r="D715" t="s">
        <v>131</v>
      </c>
      <c r="E715" t="s">
        <v>669</v>
      </c>
      <c r="F715">
        <v>2010</v>
      </c>
      <c r="G715" t="s">
        <v>1130</v>
      </c>
      <c r="H715" t="s">
        <v>3114</v>
      </c>
      <c r="I715" t="s">
        <v>3308</v>
      </c>
      <c r="J715" t="s">
        <v>26</v>
      </c>
      <c r="K715" t="s">
        <v>48</v>
      </c>
      <c r="L715" t="b">
        <v>1</v>
      </c>
      <c r="M715" t="s">
        <v>1267</v>
      </c>
      <c r="N715" t="str">
        <f>"822"</f>
        <v>822</v>
      </c>
      <c r="O715" t="s">
        <v>764</v>
      </c>
      <c r="P715" t="b">
        <v>1</v>
      </c>
      <c r="R715" t="str">
        <f>"9781840026122"</f>
        <v>9781840026122</v>
      </c>
      <c r="S715" t="str">
        <f>"9781849433310"</f>
        <v>9781849433310</v>
      </c>
      <c r="T715">
        <v>994643535</v>
      </c>
    </row>
    <row r="716" spans="1:20" x14ac:dyDescent="0.25">
      <c r="A716">
        <v>1026049</v>
      </c>
      <c r="B716" t="s">
        <v>3535</v>
      </c>
      <c r="D716" t="s">
        <v>131</v>
      </c>
      <c r="E716" t="s">
        <v>669</v>
      </c>
      <c r="F716">
        <v>2013</v>
      </c>
      <c r="G716" t="s">
        <v>1130</v>
      </c>
      <c r="H716" t="s">
        <v>3536</v>
      </c>
      <c r="I716" t="s">
        <v>3537</v>
      </c>
      <c r="J716" t="s">
        <v>26</v>
      </c>
      <c r="K716" t="s">
        <v>48</v>
      </c>
      <c r="L716" t="b">
        <v>1</v>
      </c>
      <c r="M716" t="s">
        <v>3538</v>
      </c>
      <c r="N716" t="str">
        <f>"822.92"</f>
        <v>822.92</v>
      </c>
      <c r="O716" t="s">
        <v>912</v>
      </c>
      <c r="P716" t="b">
        <v>1</v>
      </c>
      <c r="R716" t="str">
        <f>"9781840026276"</f>
        <v>9781840026276</v>
      </c>
      <c r="S716" t="str">
        <f>"9781783193684"</f>
        <v>9781783193684</v>
      </c>
      <c r="T716">
        <v>951623701</v>
      </c>
    </row>
    <row r="717" spans="1:20" x14ac:dyDescent="0.25">
      <c r="A717">
        <v>1026047</v>
      </c>
      <c r="B717" t="s">
        <v>3539</v>
      </c>
      <c r="C717" t="s">
        <v>3540</v>
      </c>
      <c r="D717" t="s">
        <v>131</v>
      </c>
      <c r="E717" t="s">
        <v>669</v>
      </c>
      <c r="F717">
        <v>2012</v>
      </c>
      <c r="G717" t="s">
        <v>3541</v>
      </c>
      <c r="H717" t="s">
        <v>3542</v>
      </c>
      <c r="I717" t="s">
        <v>3543</v>
      </c>
      <c r="J717" t="s">
        <v>26</v>
      </c>
      <c r="K717" t="s">
        <v>48</v>
      </c>
      <c r="L717" t="b">
        <v>1</v>
      </c>
      <c r="M717" t="s">
        <v>3544</v>
      </c>
      <c r="N717" t="str">
        <f>"792.0233"</f>
        <v>792.0233</v>
      </c>
      <c r="P717" t="b">
        <v>0</v>
      </c>
      <c r="R717" t="str">
        <f>"9781849430418"</f>
        <v>9781849430418</v>
      </c>
      <c r="S717" t="str">
        <f>"9781849433457"</f>
        <v>9781849433457</v>
      </c>
      <c r="T717">
        <v>818796674</v>
      </c>
    </row>
    <row r="718" spans="1:20" x14ac:dyDescent="0.25">
      <c r="A718">
        <v>1026045</v>
      </c>
      <c r="B718" t="s">
        <v>3545</v>
      </c>
      <c r="D718" t="s">
        <v>131</v>
      </c>
      <c r="E718" t="s">
        <v>669</v>
      </c>
      <c r="F718">
        <v>2011</v>
      </c>
      <c r="G718" t="s">
        <v>1130</v>
      </c>
      <c r="H718" t="s">
        <v>3546</v>
      </c>
      <c r="I718" t="s">
        <v>3547</v>
      </c>
      <c r="J718" t="s">
        <v>26</v>
      </c>
      <c r="K718" t="s">
        <v>48</v>
      </c>
      <c r="L718" t="b">
        <v>1</v>
      </c>
      <c r="M718" t="s">
        <v>3548</v>
      </c>
      <c r="N718" t="str">
        <f>"812/.54"</f>
        <v>812/.54</v>
      </c>
      <c r="O718" t="s">
        <v>912</v>
      </c>
      <c r="P718" t="b">
        <v>1</v>
      </c>
      <c r="R718" t="str">
        <f>"9781849430920"</f>
        <v>9781849430920</v>
      </c>
      <c r="S718" t="str">
        <f>"9781849433358"</f>
        <v>9781849433358</v>
      </c>
      <c r="T718">
        <v>818786602</v>
      </c>
    </row>
    <row r="719" spans="1:20" x14ac:dyDescent="0.25">
      <c r="A719">
        <v>1026044</v>
      </c>
      <c r="B719" t="s">
        <v>3549</v>
      </c>
      <c r="D719" t="s">
        <v>131</v>
      </c>
      <c r="E719" t="s">
        <v>669</v>
      </c>
      <c r="F719">
        <v>2011</v>
      </c>
      <c r="G719" t="s">
        <v>1130</v>
      </c>
      <c r="H719" t="s">
        <v>3550</v>
      </c>
      <c r="I719" t="s">
        <v>3551</v>
      </c>
      <c r="J719" t="s">
        <v>26</v>
      </c>
      <c r="K719" t="s">
        <v>48</v>
      </c>
      <c r="L719" t="b">
        <v>1</v>
      </c>
      <c r="M719" t="s">
        <v>3552</v>
      </c>
      <c r="N719" t="str">
        <f>"822.92"</f>
        <v>822.92</v>
      </c>
      <c r="O719" t="s">
        <v>912</v>
      </c>
      <c r="P719" t="b">
        <v>1</v>
      </c>
      <c r="R719" t="str">
        <f>"9781849430456"</f>
        <v>9781849430456</v>
      </c>
      <c r="S719" t="str">
        <f>"9781849437554"</f>
        <v>9781849437554</v>
      </c>
      <c r="T719">
        <v>904208009</v>
      </c>
    </row>
    <row r="720" spans="1:20" x14ac:dyDescent="0.25">
      <c r="A720">
        <v>1026043</v>
      </c>
      <c r="B720" t="s">
        <v>3553</v>
      </c>
      <c r="D720" t="s">
        <v>131</v>
      </c>
      <c r="E720" t="s">
        <v>669</v>
      </c>
      <c r="F720">
        <v>2011</v>
      </c>
      <c r="G720" t="s">
        <v>1130</v>
      </c>
      <c r="H720" t="s">
        <v>3554</v>
      </c>
      <c r="I720" t="s">
        <v>3555</v>
      </c>
      <c r="J720" t="s">
        <v>26</v>
      </c>
      <c r="K720" t="s">
        <v>48</v>
      </c>
      <c r="L720" t="b">
        <v>1</v>
      </c>
      <c r="M720" t="s">
        <v>3556</v>
      </c>
      <c r="N720" t="str">
        <f>"822.92"</f>
        <v>822.92</v>
      </c>
      <c r="O720" t="s">
        <v>912</v>
      </c>
      <c r="P720" t="b">
        <v>1</v>
      </c>
      <c r="R720" t="str">
        <f>"9781849432139"</f>
        <v>9781849432139</v>
      </c>
      <c r="S720" t="str">
        <f>"9781849436632"</f>
        <v>9781849436632</v>
      </c>
      <c r="T720">
        <v>903910684</v>
      </c>
    </row>
    <row r="721" spans="1:20" x14ac:dyDescent="0.25">
      <c r="A721">
        <v>1026040</v>
      </c>
      <c r="B721" t="s">
        <v>3557</v>
      </c>
      <c r="D721" t="s">
        <v>131</v>
      </c>
      <c r="E721" t="s">
        <v>669</v>
      </c>
      <c r="F721">
        <v>2011</v>
      </c>
      <c r="G721" t="s">
        <v>1130</v>
      </c>
      <c r="H721" t="s">
        <v>3558</v>
      </c>
      <c r="I721" t="s">
        <v>3559</v>
      </c>
      <c r="J721" t="s">
        <v>26</v>
      </c>
      <c r="K721" t="s">
        <v>48</v>
      </c>
      <c r="L721" t="b">
        <v>1</v>
      </c>
      <c r="M721" t="s">
        <v>3560</v>
      </c>
      <c r="N721" t="str">
        <f>"822.92"</f>
        <v>822.92</v>
      </c>
      <c r="O721" t="s">
        <v>912</v>
      </c>
      <c r="P721" t="b">
        <v>1</v>
      </c>
      <c r="R721" t="str">
        <f>"9781849431941"</f>
        <v>9781849431941</v>
      </c>
      <c r="S721" t="str">
        <f>"9781849432863"</f>
        <v>9781849432863</v>
      </c>
      <c r="T721">
        <v>904207918</v>
      </c>
    </row>
    <row r="722" spans="1:20" x14ac:dyDescent="0.25">
      <c r="A722">
        <v>1026039</v>
      </c>
      <c r="B722" t="s">
        <v>3561</v>
      </c>
      <c r="D722" t="s">
        <v>131</v>
      </c>
      <c r="E722" t="s">
        <v>669</v>
      </c>
      <c r="F722">
        <v>2012</v>
      </c>
      <c r="G722" t="s">
        <v>1130</v>
      </c>
      <c r="H722" t="s">
        <v>3562</v>
      </c>
      <c r="I722" t="s">
        <v>3563</v>
      </c>
      <c r="J722" t="s">
        <v>26</v>
      </c>
      <c r="K722" t="s">
        <v>48</v>
      </c>
      <c r="L722" t="b">
        <v>1</v>
      </c>
      <c r="M722" t="s">
        <v>3564</v>
      </c>
      <c r="N722" t="str">
        <f>"891.723"</f>
        <v>891.723</v>
      </c>
      <c r="P722" t="b">
        <v>1</v>
      </c>
      <c r="R722" t="str">
        <f>"9781840027389"</f>
        <v>9781840027389</v>
      </c>
      <c r="S722" t="str">
        <f>"9781849438704"</f>
        <v>9781849438704</v>
      </c>
      <c r="T722">
        <v>870600572</v>
      </c>
    </row>
    <row r="723" spans="1:20" x14ac:dyDescent="0.25">
      <c r="A723">
        <v>1026037</v>
      </c>
      <c r="B723" t="s">
        <v>3565</v>
      </c>
      <c r="D723" t="s">
        <v>131</v>
      </c>
      <c r="E723" t="s">
        <v>669</v>
      </c>
      <c r="F723">
        <v>2012</v>
      </c>
      <c r="G723" t="s">
        <v>1130</v>
      </c>
      <c r="H723" t="s">
        <v>3566</v>
      </c>
      <c r="I723" t="s">
        <v>3567</v>
      </c>
      <c r="J723" t="s">
        <v>26</v>
      </c>
      <c r="K723" t="s">
        <v>48</v>
      </c>
      <c r="L723" t="b">
        <v>1</v>
      </c>
      <c r="M723" t="s">
        <v>3568</v>
      </c>
      <c r="N723" t="str">
        <f>"822.92"</f>
        <v>822.92</v>
      </c>
      <c r="O723" t="s">
        <v>912</v>
      </c>
      <c r="P723" t="b">
        <v>1</v>
      </c>
      <c r="R723" t="str">
        <f>"9781849432467"</f>
        <v>9781849432467</v>
      </c>
      <c r="S723" t="str">
        <f>"9781849435222"</f>
        <v>9781849435222</v>
      </c>
      <c r="T723">
        <v>965713159</v>
      </c>
    </row>
    <row r="724" spans="1:20" x14ac:dyDescent="0.25">
      <c r="A724">
        <v>1026034</v>
      </c>
      <c r="B724" t="s">
        <v>3569</v>
      </c>
      <c r="D724" t="s">
        <v>131</v>
      </c>
      <c r="E724" t="s">
        <v>669</v>
      </c>
      <c r="F724">
        <v>2001</v>
      </c>
      <c r="G724" t="s">
        <v>1130</v>
      </c>
      <c r="H724" t="s">
        <v>3570</v>
      </c>
      <c r="I724" t="s">
        <v>3571</v>
      </c>
      <c r="J724" t="s">
        <v>26</v>
      </c>
      <c r="K724" t="s">
        <v>48</v>
      </c>
      <c r="L724" t="b">
        <v>1</v>
      </c>
      <c r="M724" t="s">
        <v>3009</v>
      </c>
      <c r="N724" t="str">
        <f>"822/.92"</f>
        <v>822/.92</v>
      </c>
      <c r="O724" t="s">
        <v>3013</v>
      </c>
      <c r="P724" t="b">
        <v>1</v>
      </c>
      <c r="R724" t="str">
        <f>"9781840022001"</f>
        <v>9781840022001</v>
      </c>
      <c r="S724" t="str">
        <f>"9781783194360"</f>
        <v>9781783194360</v>
      </c>
      <c r="T724">
        <v>906138235</v>
      </c>
    </row>
    <row r="725" spans="1:20" x14ac:dyDescent="0.25">
      <c r="A725">
        <v>1026031</v>
      </c>
      <c r="B725" t="s">
        <v>3572</v>
      </c>
      <c r="D725" t="s">
        <v>131</v>
      </c>
      <c r="E725" t="s">
        <v>669</v>
      </c>
      <c r="F725">
        <v>2012</v>
      </c>
      <c r="G725" t="s">
        <v>1130</v>
      </c>
      <c r="H725" t="s">
        <v>3573</v>
      </c>
      <c r="I725" t="s">
        <v>3574</v>
      </c>
      <c r="J725" t="s">
        <v>26</v>
      </c>
      <c r="K725" t="s">
        <v>48</v>
      </c>
      <c r="L725" t="b">
        <v>1</v>
      </c>
      <c r="M725" t="s">
        <v>3575</v>
      </c>
      <c r="N725" t="str">
        <f>"822/.92"</f>
        <v>822/.92</v>
      </c>
      <c r="O725" t="s">
        <v>2855</v>
      </c>
      <c r="P725" t="b">
        <v>1</v>
      </c>
      <c r="R725" t="str">
        <f>"9781849430692"</f>
        <v>9781849430692</v>
      </c>
      <c r="S725" t="str">
        <f>"9781849435185"</f>
        <v>9781849435185</v>
      </c>
      <c r="T725">
        <v>818795866</v>
      </c>
    </row>
    <row r="726" spans="1:20" x14ac:dyDescent="0.25">
      <c r="A726">
        <v>1026030</v>
      </c>
      <c r="B726" t="s">
        <v>3576</v>
      </c>
      <c r="D726" t="s">
        <v>131</v>
      </c>
      <c r="E726" t="s">
        <v>669</v>
      </c>
      <c r="F726">
        <v>2012</v>
      </c>
      <c r="G726" t="s">
        <v>1130</v>
      </c>
      <c r="H726" t="s">
        <v>3577</v>
      </c>
      <c r="I726" t="s">
        <v>3578</v>
      </c>
      <c r="J726" t="s">
        <v>26</v>
      </c>
      <c r="K726" t="s">
        <v>48</v>
      </c>
      <c r="L726" t="b">
        <v>1</v>
      </c>
      <c r="M726" t="s">
        <v>3579</v>
      </c>
      <c r="N726" t="str">
        <f>"822.914"</f>
        <v>822.914</v>
      </c>
      <c r="P726" t="b">
        <v>1</v>
      </c>
      <c r="R726" t="str">
        <f>"9781849431804"</f>
        <v>9781849431804</v>
      </c>
      <c r="S726" t="str">
        <f>"9781849433020"</f>
        <v>9781849433020</v>
      </c>
      <c r="T726">
        <v>870600428</v>
      </c>
    </row>
    <row r="727" spans="1:20" x14ac:dyDescent="0.25">
      <c r="A727">
        <v>1026026</v>
      </c>
      <c r="B727" t="s">
        <v>3580</v>
      </c>
      <c r="D727" t="s">
        <v>131</v>
      </c>
      <c r="E727" t="s">
        <v>669</v>
      </c>
      <c r="F727">
        <v>2012</v>
      </c>
      <c r="G727" t="s">
        <v>1130</v>
      </c>
      <c r="H727" t="s">
        <v>3581</v>
      </c>
      <c r="I727" t="s">
        <v>1257</v>
      </c>
      <c r="J727" t="s">
        <v>26</v>
      </c>
      <c r="K727" t="s">
        <v>48</v>
      </c>
      <c r="L727" t="b">
        <v>1</v>
      </c>
      <c r="M727" t="s">
        <v>3582</v>
      </c>
      <c r="N727" t="str">
        <f>"822/.914"</f>
        <v>822/.914</v>
      </c>
      <c r="O727" t="s">
        <v>764</v>
      </c>
      <c r="P727" t="b">
        <v>1</v>
      </c>
      <c r="R727" t="str">
        <f>"9781849432474"</f>
        <v>9781849432474</v>
      </c>
      <c r="S727" t="str">
        <f>"9781849435215"</f>
        <v>9781849435215</v>
      </c>
      <c r="T727">
        <v>818865297</v>
      </c>
    </row>
    <row r="728" spans="1:20" x14ac:dyDescent="0.25">
      <c r="A728">
        <v>1026025</v>
      </c>
      <c r="B728" t="s">
        <v>3583</v>
      </c>
      <c r="C728" t="s">
        <v>3584</v>
      </c>
      <c r="D728" t="s">
        <v>131</v>
      </c>
      <c r="E728" t="s">
        <v>669</v>
      </c>
      <c r="F728">
        <v>2012</v>
      </c>
      <c r="G728" t="s">
        <v>1130</v>
      </c>
      <c r="H728" t="s">
        <v>3585</v>
      </c>
      <c r="I728" t="s">
        <v>3586</v>
      </c>
      <c r="J728" t="s">
        <v>26</v>
      </c>
      <c r="K728" t="s">
        <v>48</v>
      </c>
      <c r="L728" t="b">
        <v>1</v>
      </c>
      <c r="M728" t="s">
        <v>3587</v>
      </c>
      <c r="N728" t="str">
        <f>"822.92"</f>
        <v>822.92</v>
      </c>
      <c r="O728" t="s">
        <v>764</v>
      </c>
      <c r="P728" t="b">
        <v>1</v>
      </c>
      <c r="R728" t="str">
        <f>"9781849433914"</f>
        <v>9781849433914</v>
      </c>
      <c r="S728" t="str">
        <f>"9781849436724"</f>
        <v>9781849436724</v>
      </c>
      <c r="T728">
        <v>903055217</v>
      </c>
    </row>
    <row r="729" spans="1:20" x14ac:dyDescent="0.25">
      <c r="A729">
        <v>1026023</v>
      </c>
      <c r="B729" t="s">
        <v>3588</v>
      </c>
      <c r="D729" t="s">
        <v>131</v>
      </c>
      <c r="E729" t="s">
        <v>669</v>
      </c>
      <c r="F729">
        <v>2012</v>
      </c>
      <c r="G729" t="s">
        <v>1130</v>
      </c>
      <c r="H729" t="s">
        <v>3589</v>
      </c>
      <c r="I729" t="s">
        <v>1257</v>
      </c>
      <c r="J729" t="s">
        <v>26</v>
      </c>
      <c r="K729" t="s">
        <v>48</v>
      </c>
      <c r="L729" t="b">
        <v>1</v>
      </c>
      <c r="M729" t="s">
        <v>3590</v>
      </c>
      <c r="N729" t="str">
        <f>"822.92"</f>
        <v>822.92</v>
      </c>
      <c r="O729" t="s">
        <v>912</v>
      </c>
      <c r="P729" t="b">
        <v>1</v>
      </c>
      <c r="R729" t="str">
        <f>"9781849434713"</f>
        <v>9781849434713</v>
      </c>
      <c r="S729" t="str">
        <f>"9781849436403"</f>
        <v>9781849436403</v>
      </c>
      <c r="T729">
        <v>903603478</v>
      </c>
    </row>
    <row r="730" spans="1:20" x14ac:dyDescent="0.25">
      <c r="A730">
        <v>1026017</v>
      </c>
      <c r="B730" t="s">
        <v>3591</v>
      </c>
      <c r="D730" t="s">
        <v>131</v>
      </c>
      <c r="E730" t="s">
        <v>669</v>
      </c>
      <c r="F730">
        <v>2012</v>
      </c>
      <c r="G730" t="s">
        <v>1130</v>
      </c>
      <c r="H730" t="s">
        <v>3592</v>
      </c>
      <c r="I730" t="s">
        <v>3593</v>
      </c>
      <c r="J730" t="s">
        <v>26</v>
      </c>
      <c r="K730" t="s">
        <v>48</v>
      </c>
      <c r="L730" t="b">
        <v>1</v>
      </c>
      <c r="M730" t="s">
        <v>3437</v>
      </c>
      <c r="N730" t="str">
        <f>"822/.92"</f>
        <v>822/.92</v>
      </c>
      <c r="P730" t="b">
        <v>1</v>
      </c>
      <c r="R730" t="str">
        <f>"9781840028188"</f>
        <v>9781840028188</v>
      </c>
      <c r="S730" t="str">
        <f>"9781849438933"</f>
        <v>9781849438933</v>
      </c>
      <c r="T730">
        <v>870600250</v>
      </c>
    </row>
    <row r="731" spans="1:20" x14ac:dyDescent="0.25">
      <c r="A731">
        <v>1026012</v>
      </c>
      <c r="B731" t="s">
        <v>3594</v>
      </c>
      <c r="D731" t="s">
        <v>131</v>
      </c>
      <c r="E731" t="s">
        <v>669</v>
      </c>
      <c r="F731">
        <v>2012</v>
      </c>
      <c r="G731" t="s">
        <v>1130</v>
      </c>
      <c r="H731" t="s">
        <v>3595</v>
      </c>
      <c r="I731" t="s">
        <v>3596</v>
      </c>
      <c r="J731" t="s">
        <v>26</v>
      </c>
      <c r="K731" t="s">
        <v>48</v>
      </c>
      <c r="L731" t="b">
        <v>1</v>
      </c>
      <c r="M731" t="s">
        <v>3597</v>
      </c>
      <c r="N731" t="str">
        <f>"822.92"</f>
        <v>822.92</v>
      </c>
      <c r="O731" t="s">
        <v>912</v>
      </c>
      <c r="P731" t="b">
        <v>1</v>
      </c>
      <c r="R731" t="str">
        <f>"9781849434577"</f>
        <v>9781849434577</v>
      </c>
      <c r="S731" t="str">
        <f>"9781849437295"</f>
        <v>9781849437295</v>
      </c>
      <c r="T731">
        <v>902989281</v>
      </c>
    </row>
    <row r="732" spans="1:20" x14ac:dyDescent="0.25">
      <c r="A732">
        <v>1026010</v>
      </c>
      <c r="B732" t="s">
        <v>3598</v>
      </c>
      <c r="D732" t="s">
        <v>131</v>
      </c>
      <c r="E732" t="s">
        <v>669</v>
      </c>
      <c r="F732">
        <v>2011</v>
      </c>
      <c r="G732" t="s">
        <v>1130</v>
      </c>
      <c r="H732" t="s">
        <v>3599</v>
      </c>
      <c r="I732" t="s">
        <v>1661</v>
      </c>
      <c r="J732" t="s">
        <v>26</v>
      </c>
      <c r="K732" t="s">
        <v>48</v>
      </c>
      <c r="L732" t="b">
        <v>1</v>
      </c>
      <c r="M732" t="s">
        <v>2900</v>
      </c>
      <c r="N732" t="str">
        <f>"822.914"</f>
        <v>822.914</v>
      </c>
      <c r="O732" t="s">
        <v>912</v>
      </c>
      <c r="P732" t="b">
        <v>1</v>
      </c>
      <c r="R732" t="str">
        <f>"9781849431088"</f>
        <v>9781849431088</v>
      </c>
      <c r="S732" t="str">
        <f>"9781849435468"</f>
        <v>9781849435468</v>
      </c>
      <c r="T732">
        <v>904207940</v>
      </c>
    </row>
    <row r="733" spans="1:20" x14ac:dyDescent="0.25">
      <c r="A733">
        <v>1026009</v>
      </c>
      <c r="B733" t="s">
        <v>3600</v>
      </c>
      <c r="D733" t="s">
        <v>131</v>
      </c>
      <c r="E733" t="s">
        <v>669</v>
      </c>
      <c r="F733">
        <v>2012</v>
      </c>
      <c r="G733" t="s">
        <v>1130</v>
      </c>
      <c r="H733" t="s">
        <v>3391</v>
      </c>
      <c r="I733" t="s">
        <v>3601</v>
      </c>
      <c r="J733" t="s">
        <v>26</v>
      </c>
      <c r="K733" t="s">
        <v>48</v>
      </c>
      <c r="L733" t="b">
        <v>1</v>
      </c>
      <c r="M733" t="s">
        <v>2900</v>
      </c>
      <c r="N733" t="str">
        <f>"822.914"</f>
        <v>822.914</v>
      </c>
      <c r="O733" t="s">
        <v>764</v>
      </c>
      <c r="P733" t="b">
        <v>1</v>
      </c>
      <c r="R733" t="str">
        <f>"9781849431606"</f>
        <v>9781849431606</v>
      </c>
      <c r="S733" t="str">
        <f>"9781849436915"</f>
        <v>9781849436915</v>
      </c>
      <c r="T733">
        <v>903603479</v>
      </c>
    </row>
    <row r="734" spans="1:20" x14ac:dyDescent="0.25">
      <c r="A734">
        <v>1026004</v>
      </c>
      <c r="B734" t="s">
        <v>3602</v>
      </c>
      <c r="D734" t="s">
        <v>131</v>
      </c>
      <c r="E734" t="s">
        <v>669</v>
      </c>
      <c r="F734">
        <v>2011</v>
      </c>
      <c r="G734" t="s">
        <v>1130</v>
      </c>
      <c r="H734" t="s">
        <v>3603</v>
      </c>
      <c r="I734" t="s">
        <v>3604</v>
      </c>
      <c r="J734" t="s">
        <v>26</v>
      </c>
      <c r="K734" t="s">
        <v>48</v>
      </c>
      <c r="L734" t="b">
        <v>1</v>
      </c>
      <c r="M734" t="s">
        <v>3605</v>
      </c>
      <c r="N734" t="str">
        <f>"822.92"</f>
        <v>822.92</v>
      </c>
      <c r="O734" t="s">
        <v>912</v>
      </c>
      <c r="P734" t="b">
        <v>1</v>
      </c>
      <c r="R734" t="str">
        <f>"9781849431958"</f>
        <v>9781849431958</v>
      </c>
      <c r="S734" t="str">
        <f>"9781849433815"</f>
        <v>9781849433815</v>
      </c>
      <c r="T734">
        <v>904113966</v>
      </c>
    </row>
    <row r="735" spans="1:20" x14ac:dyDescent="0.25">
      <c r="A735">
        <v>1026003</v>
      </c>
      <c r="B735" t="s">
        <v>3606</v>
      </c>
      <c r="C735" t="s">
        <v>3607</v>
      </c>
      <c r="D735" t="s">
        <v>131</v>
      </c>
      <c r="E735" t="s">
        <v>669</v>
      </c>
      <c r="F735">
        <v>2011</v>
      </c>
      <c r="G735" t="s">
        <v>1130</v>
      </c>
      <c r="H735" t="s">
        <v>3608</v>
      </c>
      <c r="I735" t="s">
        <v>3609</v>
      </c>
      <c r="J735" t="s">
        <v>26</v>
      </c>
      <c r="K735" t="s">
        <v>48</v>
      </c>
      <c r="L735" t="b">
        <v>1</v>
      </c>
      <c r="M735" t="s">
        <v>3610</v>
      </c>
      <c r="N735" t="str">
        <f>"822/.92"</f>
        <v>822/.92</v>
      </c>
      <c r="P735" t="b">
        <v>1</v>
      </c>
      <c r="R735" t="str">
        <f>"9781840023893"</f>
        <v>9781840023893</v>
      </c>
      <c r="S735" t="str">
        <f>"9781849439732"</f>
        <v>9781849439732</v>
      </c>
      <c r="T735">
        <v>870600388</v>
      </c>
    </row>
    <row r="736" spans="1:20" x14ac:dyDescent="0.25">
      <c r="A736">
        <v>1026002</v>
      </c>
      <c r="B736" t="s">
        <v>3611</v>
      </c>
      <c r="D736" t="s">
        <v>131</v>
      </c>
      <c r="E736" t="s">
        <v>669</v>
      </c>
      <c r="F736">
        <v>2012</v>
      </c>
      <c r="G736" t="s">
        <v>1130</v>
      </c>
      <c r="H736" t="s">
        <v>3612</v>
      </c>
      <c r="I736" t="s">
        <v>3613</v>
      </c>
      <c r="J736" t="s">
        <v>26</v>
      </c>
      <c r="K736" t="s">
        <v>48</v>
      </c>
      <c r="L736" t="b">
        <v>1</v>
      </c>
      <c r="M736" t="s">
        <v>3614</v>
      </c>
      <c r="N736" t="str">
        <f>"956.704437"</f>
        <v>956.704437</v>
      </c>
      <c r="O736" t="s">
        <v>912</v>
      </c>
      <c r="P736" t="b">
        <v>1</v>
      </c>
      <c r="R736" t="str">
        <f>"9781849430319"</f>
        <v>9781849430319</v>
      </c>
      <c r="S736" t="str">
        <f>"9781849437059"</f>
        <v>9781849437059</v>
      </c>
      <c r="T736">
        <v>974276895</v>
      </c>
    </row>
    <row r="737" spans="1:20" x14ac:dyDescent="0.25">
      <c r="A737">
        <v>1026001</v>
      </c>
      <c r="B737" t="s">
        <v>3615</v>
      </c>
      <c r="D737" t="s">
        <v>131</v>
      </c>
      <c r="E737" t="s">
        <v>669</v>
      </c>
      <c r="F737">
        <v>2012</v>
      </c>
      <c r="G737" t="s">
        <v>1130</v>
      </c>
      <c r="H737" t="s">
        <v>3616</v>
      </c>
      <c r="I737" t="s">
        <v>3617</v>
      </c>
      <c r="J737" t="s">
        <v>26</v>
      </c>
      <c r="K737" t="s">
        <v>48</v>
      </c>
      <c r="L737" t="b">
        <v>1</v>
      </c>
      <c r="M737" t="s">
        <v>3618</v>
      </c>
      <c r="N737" t="str">
        <f>"822/.914"</f>
        <v>822/.914</v>
      </c>
      <c r="P737" t="b">
        <v>1</v>
      </c>
      <c r="R737" t="str">
        <f>"9781840022551"</f>
        <v>9781840022551</v>
      </c>
      <c r="S737" t="str">
        <f>"9781849437967"</f>
        <v>9781849437967</v>
      </c>
      <c r="T737">
        <v>881684192</v>
      </c>
    </row>
    <row r="738" spans="1:20" x14ac:dyDescent="0.25">
      <c r="A738">
        <v>1025999</v>
      </c>
      <c r="B738" t="s">
        <v>3619</v>
      </c>
      <c r="D738" t="s">
        <v>131</v>
      </c>
      <c r="E738" t="s">
        <v>669</v>
      </c>
      <c r="F738">
        <v>2011</v>
      </c>
      <c r="G738" t="s">
        <v>1130</v>
      </c>
      <c r="H738" t="s">
        <v>3620</v>
      </c>
      <c r="I738" t="s">
        <v>3621</v>
      </c>
      <c r="J738" t="s">
        <v>26</v>
      </c>
      <c r="K738" t="s">
        <v>48</v>
      </c>
      <c r="L738" t="b">
        <v>1</v>
      </c>
      <c r="M738" t="s">
        <v>3622</v>
      </c>
      <c r="N738" t="str">
        <f>"822.92"</f>
        <v>822.92</v>
      </c>
      <c r="O738" t="s">
        <v>912</v>
      </c>
      <c r="P738" t="b">
        <v>1</v>
      </c>
      <c r="R738" t="str">
        <f>"9781849430159"</f>
        <v>9781849430159</v>
      </c>
      <c r="S738" t="str">
        <f>"9781849436588"</f>
        <v>9781849436588</v>
      </c>
      <c r="T738">
        <v>904207870</v>
      </c>
    </row>
    <row r="739" spans="1:20" x14ac:dyDescent="0.25">
      <c r="A739">
        <v>1025997</v>
      </c>
      <c r="B739" t="s">
        <v>3623</v>
      </c>
      <c r="D739" t="s">
        <v>131</v>
      </c>
      <c r="E739" t="s">
        <v>669</v>
      </c>
      <c r="F739">
        <v>2012</v>
      </c>
      <c r="G739" t="s">
        <v>1130</v>
      </c>
      <c r="H739" t="s">
        <v>3624</v>
      </c>
      <c r="I739" t="s">
        <v>3625</v>
      </c>
      <c r="J739" t="s">
        <v>26</v>
      </c>
      <c r="K739" t="s">
        <v>48</v>
      </c>
      <c r="L739" t="b">
        <v>1</v>
      </c>
      <c r="M739" t="s">
        <v>3626</v>
      </c>
      <c r="N739" t="str">
        <f>"823.912"</f>
        <v>823.912</v>
      </c>
      <c r="P739" t="b">
        <v>1</v>
      </c>
      <c r="R739" t="str">
        <f>"9781849432269"</f>
        <v>9781849432269</v>
      </c>
      <c r="S739" t="str">
        <f>"9781849433495"</f>
        <v>9781849433495</v>
      </c>
      <c r="T739">
        <v>812179069</v>
      </c>
    </row>
    <row r="740" spans="1:20" x14ac:dyDescent="0.25">
      <c r="A740">
        <v>1025996</v>
      </c>
      <c r="B740" t="s">
        <v>3627</v>
      </c>
      <c r="D740" t="s">
        <v>131</v>
      </c>
      <c r="E740" t="s">
        <v>669</v>
      </c>
      <c r="F740">
        <v>2012</v>
      </c>
      <c r="G740" t="s">
        <v>1130</v>
      </c>
      <c r="H740" t="s">
        <v>3628</v>
      </c>
      <c r="I740" t="s">
        <v>3629</v>
      </c>
      <c r="J740" t="s">
        <v>26</v>
      </c>
      <c r="K740" t="s">
        <v>48</v>
      </c>
      <c r="L740" t="b">
        <v>1</v>
      </c>
      <c r="M740" t="s">
        <v>3630</v>
      </c>
      <c r="N740" t="str">
        <f>"822/.914"</f>
        <v>822/.914</v>
      </c>
      <c r="O740" t="s">
        <v>912</v>
      </c>
      <c r="P740" t="b">
        <v>1</v>
      </c>
      <c r="R740" t="str">
        <f>"9781849432504"</f>
        <v>9781849432504</v>
      </c>
      <c r="S740" t="str">
        <f>"9781849433174"</f>
        <v>9781849433174</v>
      </c>
      <c r="T740">
        <v>903055426</v>
      </c>
    </row>
    <row r="741" spans="1:20" x14ac:dyDescent="0.25">
      <c r="A741">
        <v>1025995</v>
      </c>
      <c r="B741" t="s">
        <v>3631</v>
      </c>
      <c r="D741" t="s">
        <v>131</v>
      </c>
      <c r="E741" t="s">
        <v>669</v>
      </c>
      <c r="F741">
        <v>2012</v>
      </c>
      <c r="G741" t="s">
        <v>1130</v>
      </c>
      <c r="H741" t="s">
        <v>3632</v>
      </c>
      <c r="I741" t="s">
        <v>910</v>
      </c>
      <c r="J741" t="s">
        <v>26</v>
      </c>
      <c r="K741" t="s">
        <v>48</v>
      </c>
      <c r="L741" t="b">
        <v>1</v>
      </c>
      <c r="M741" t="s">
        <v>1349</v>
      </c>
      <c r="N741" t="str">
        <f>"822.912"</f>
        <v>822.912</v>
      </c>
      <c r="O741" t="s">
        <v>764</v>
      </c>
      <c r="P741" t="b">
        <v>1</v>
      </c>
      <c r="R741" t="str">
        <f>"9781849432481"</f>
        <v>9781849432481</v>
      </c>
      <c r="S741" t="str">
        <f>"9781849436434"</f>
        <v>9781849436434</v>
      </c>
      <c r="T741">
        <v>895729107</v>
      </c>
    </row>
    <row r="742" spans="1:20" x14ac:dyDescent="0.25">
      <c r="A742">
        <v>1025992</v>
      </c>
      <c r="B742" t="s">
        <v>3633</v>
      </c>
      <c r="C742" t="s">
        <v>3634</v>
      </c>
      <c r="D742" t="s">
        <v>131</v>
      </c>
      <c r="E742" t="s">
        <v>669</v>
      </c>
      <c r="F742">
        <v>2011</v>
      </c>
      <c r="G742" t="s">
        <v>1130</v>
      </c>
      <c r="H742" t="s">
        <v>3635</v>
      </c>
      <c r="I742" t="s">
        <v>3636</v>
      </c>
      <c r="J742" t="s">
        <v>26</v>
      </c>
      <c r="K742" t="s">
        <v>48</v>
      </c>
      <c r="L742" t="b">
        <v>1</v>
      </c>
      <c r="M742" t="s">
        <v>3637</v>
      </c>
      <c r="N742" t="str">
        <f>"792.92"</f>
        <v>792.92</v>
      </c>
      <c r="P742" t="b">
        <v>1</v>
      </c>
      <c r="R742" t="str">
        <f>"9781849430593"</f>
        <v>9781849430593</v>
      </c>
      <c r="S742" t="str">
        <f>"9781849438773"</f>
        <v>9781849438773</v>
      </c>
      <c r="T742">
        <v>903910677</v>
      </c>
    </row>
    <row r="743" spans="1:20" x14ac:dyDescent="0.25">
      <c r="A743">
        <v>1025990</v>
      </c>
      <c r="B743" t="s">
        <v>3638</v>
      </c>
      <c r="D743" t="s">
        <v>131</v>
      </c>
      <c r="E743" t="s">
        <v>669</v>
      </c>
      <c r="F743">
        <v>2011</v>
      </c>
      <c r="G743" t="s">
        <v>1130</v>
      </c>
      <c r="H743" t="s">
        <v>3639</v>
      </c>
      <c r="I743" t="s">
        <v>3640</v>
      </c>
      <c r="J743" t="s">
        <v>26</v>
      </c>
      <c r="K743" t="s">
        <v>48</v>
      </c>
      <c r="L743" t="b">
        <v>1</v>
      </c>
      <c r="M743" t="s">
        <v>2900</v>
      </c>
      <c r="N743" t="str">
        <f>"822.914"</f>
        <v>822.914</v>
      </c>
      <c r="O743" t="s">
        <v>912</v>
      </c>
      <c r="P743" t="b">
        <v>1</v>
      </c>
      <c r="R743" t="str">
        <f>"9781840029550"</f>
        <v>9781840029550</v>
      </c>
      <c r="S743" t="str">
        <f>"9781849437417"</f>
        <v>9781849437417</v>
      </c>
      <c r="T743">
        <v>904114538</v>
      </c>
    </row>
    <row r="744" spans="1:20" x14ac:dyDescent="0.25">
      <c r="A744">
        <v>1025986</v>
      </c>
      <c r="B744" t="s">
        <v>3641</v>
      </c>
      <c r="D744" t="s">
        <v>131</v>
      </c>
      <c r="E744" t="s">
        <v>669</v>
      </c>
      <c r="F744">
        <v>2012</v>
      </c>
      <c r="G744" t="s">
        <v>1130</v>
      </c>
      <c r="H744" t="s">
        <v>3642</v>
      </c>
      <c r="I744" t="s">
        <v>3643</v>
      </c>
      <c r="J744" t="s">
        <v>26</v>
      </c>
      <c r="K744" t="s">
        <v>48</v>
      </c>
      <c r="L744" t="b">
        <v>1</v>
      </c>
      <c r="M744" t="s">
        <v>3098</v>
      </c>
      <c r="N744" t="str">
        <f>"[Fic]"</f>
        <v>[Fic]</v>
      </c>
      <c r="P744" t="b">
        <v>1</v>
      </c>
      <c r="R744" t="str">
        <f>"9781849435017"</f>
        <v>9781849435017</v>
      </c>
      <c r="S744" t="str">
        <f>"9781849435710"</f>
        <v>9781849435710</v>
      </c>
      <c r="T744">
        <v>870600457</v>
      </c>
    </row>
    <row r="745" spans="1:20" x14ac:dyDescent="0.25">
      <c r="A745">
        <v>1025983</v>
      </c>
      <c r="B745" t="s">
        <v>3644</v>
      </c>
      <c r="D745" t="s">
        <v>131</v>
      </c>
      <c r="E745" t="s">
        <v>669</v>
      </c>
      <c r="F745">
        <v>2012</v>
      </c>
      <c r="G745" t="s">
        <v>1130</v>
      </c>
      <c r="H745" t="s">
        <v>3645</v>
      </c>
      <c r="I745" t="s">
        <v>2842</v>
      </c>
      <c r="J745" t="s">
        <v>26</v>
      </c>
      <c r="K745" t="s">
        <v>48</v>
      </c>
      <c r="L745" t="b">
        <v>1</v>
      </c>
      <c r="M745" t="s">
        <v>3646</v>
      </c>
      <c r="N745" t="str">
        <f>"822.92"</f>
        <v>822.92</v>
      </c>
      <c r="P745" t="b">
        <v>1</v>
      </c>
      <c r="R745" t="str">
        <f>"9781849434034"</f>
        <v>9781849434034</v>
      </c>
      <c r="S745" t="str">
        <f>"9781849436175"</f>
        <v>9781849436175</v>
      </c>
      <c r="T745">
        <v>870600488</v>
      </c>
    </row>
    <row r="746" spans="1:20" x14ac:dyDescent="0.25">
      <c r="A746">
        <v>1025978</v>
      </c>
      <c r="B746" t="s">
        <v>3647</v>
      </c>
      <c r="D746" t="s">
        <v>131</v>
      </c>
      <c r="E746" t="s">
        <v>669</v>
      </c>
      <c r="F746">
        <v>2012</v>
      </c>
      <c r="G746" t="s">
        <v>1130</v>
      </c>
      <c r="H746" t="s">
        <v>3648</v>
      </c>
      <c r="I746" t="s">
        <v>3649</v>
      </c>
      <c r="J746" t="s">
        <v>26</v>
      </c>
      <c r="K746" t="s">
        <v>48</v>
      </c>
      <c r="L746" t="b">
        <v>1</v>
      </c>
      <c r="M746" t="s">
        <v>3650</v>
      </c>
      <c r="N746" t="str">
        <f>"822.92"</f>
        <v>822.92</v>
      </c>
      <c r="O746" t="s">
        <v>912</v>
      </c>
      <c r="P746" t="b">
        <v>1</v>
      </c>
      <c r="R746" t="str">
        <f>"9781849431439"</f>
        <v>9781849431439</v>
      </c>
      <c r="S746" t="str">
        <f>"9781849432870"</f>
        <v>9781849432870</v>
      </c>
      <c r="T746">
        <v>903055423</v>
      </c>
    </row>
    <row r="747" spans="1:20" x14ac:dyDescent="0.25">
      <c r="A747">
        <v>1025971</v>
      </c>
      <c r="B747" t="s">
        <v>3651</v>
      </c>
      <c r="D747" t="s">
        <v>131</v>
      </c>
      <c r="E747" t="s">
        <v>669</v>
      </c>
      <c r="F747">
        <v>2011</v>
      </c>
      <c r="G747" t="s">
        <v>1130</v>
      </c>
      <c r="H747" t="s">
        <v>3652</v>
      </c>
      <c r="J747" t="s">
        <v>26</v>
      </c>
      <c r="K747" t="s">
        <v>48</v>
      </c>
      <c r="L747" t="b">
        <v>1</v>
      </c>
      <c r="M747" t="s">
        <v>3653</v>
      </c>
      <c r="N747" t="str">
        <f>"822.92"</f>
        <v>822.92</v>
      </c>
      <c r="P747" t="b">
        <v>1</v>
      </c>
      <c r="R747" t="str">
        <f>"9781849431064"</f>
        <v>9781849431064</v>
      </c>
      <c r="S747" t="str">
        <f>"9781849436526"</f>
        <v>9781849436526</v>
      </c>
      <c r="T747">
        <v>903882619</v>
      </c>
    </row>
    <row r="748" spans="1:20" x14ac:dyDescent="0.25">
      <c r="A748">
        <v>1025966</v>
      </c>
      <c r="B748" t="s">
        <v>3654</v>
      </c>
      <c r="D748" t="s">
        <v>131</v>
      </c>
      <c r="E748" t="s">
        <v>669</v>
      </c>
      <c r="F748">
        <v>2011</v>
      </c>
      <c r="G748" t="s">
        <v>1130</v>
      </c>
      <c r="H748" t="s">
        <v>3655</v>
      </c>
      <c r="I748" t="s">
        <v>3543</v>
      </c>
      <c r="J748" t="s">
        <v>26</v>
      </c>
      <c r="K748" t="s">
        <v>48</v>
      </c>
      <c r="L748" t="b">
        <v>1</v>
      </c>
      <c r="M748" t="s">
        <v>3656</v>
      </c>
      <c r="N748" t="str">
        <f>"792.9"</f>
        <v>792.9</v>
      </c>
      <c r="P748" t="b">
        <v>1</v>
      </c>
      <c r="R748" t="str">
        <f>"9781840029697"</f>
        <v>9781840029697</v>
      </c>
      <c r="S748" t="str">
        <f>"9781849433297"</f>
        <v>9781849433297</v>
      </c>
      <c r="T748">
        <v>818787397</v>
      </c>
    </row>
    <row r="749" spans="1:20" x14ac:dyDescent="0.25">
      <c r="A749">
        <v>1025959</v>
      </c>
      <c r="B749" t="s">
        <v>3657</v>
      </c>
      <c r="D749" t="s">
        <v>131</v>
      </c>
      <c r="E749" t="s">
        <v>669</v>
      </c>
      <c r="F749">
        <v>2011</v>
      </c>
      <c r="G749" t="s">
        <v>1130</v>
      </c>
      <c r="H749" t="s">
        <v>3658</v>
      </c>
      <c r="I749" t="s">
        <v>3659</v>
      </c>
      <c r="J749" t="s">
        <v>26</v>
      </c>
      <c r="K749" t="s">
        <v>48</v>
      </c>
      <c r="L749" t="b">
        <v>1</v>
      </c>
      <c r="M749" t="s">
        <v>673</v>
      </c>
      <c r="N749" t="str">
        <f>"812.54"</f>
        <v>812.54</v>
      </c>
      <c r="O749" t="s">
        <v>912</v>
      </c>
      <c r="P749" t="b">
        <v>1</v>
      </c>
      <c r="R749" t="str">
        <f>"9781849430777"</f>
        <v>9781849430777</v>
      </c>
      <c r="S749" t="str">
        <f>"9781849435598"</f>
        <v>9781849435598</v>
      </c>
      <c r="T749">
        <v>828150714</v>
      </c>
    </row>
    <row r="750" spans="1:20" x14ac:dyDescent="0.25">
      <c r="A750">
        <v>1025958</v>
      </c>
      <c r="B750" t="s">
        <v>3660</v>
      </c>
      <c r="D750" t="s">
        <v>131</v>
      </c>
      <c r="E750" t="s">
        <v>669</v>
      </c>
      <c r="F750">
        <v>2011</v>
      </c>
      <c r="G750" t="s">
        <v>1130</v>
      </c>
      <c r="H750" t="s">
        <v>3661</v>
      </c>
      <c r="I750" t="s">
        <v>3662</v>
      </c>
      <c r="J750" t="s">
        <v>26</v>
      </c>
      <c r="K750" t="s">
        <v>48</v>
      </c>
      <c r="L750" t="b">
        <v>1</v>
      </c>
      <c r="M750" t="s">
        <v>3663</v>
      </c>
      <c r="N750" t="str">
        <f>"822.92"</f>
        <v>822.92</v>
      </c>
      <c r="O750" t="s">
        <v>764</v>
      </c>
      <c r="P750" t="b">
        <v>1</v>
      </c>
      <c r="R750" t="str">
        <f>"9781849430753"</f>
        <v>9781849430753</v>
      </c>
      <c r="S750" t="str">
        <f>"9781849433778"</f>
        <v>9781849433778</v>
      </c>
      <c r="T750">
        <v>904115404</v>
      </c>
    </row>
    <row r="751" spans="1:20" x14ac:dyDescent="0.25">
      <c r="A751">
        <v>1025955</v>
      </c>
      <c r="B751" t="s">
        <v>3664</v>
      </c>
      <c r="C751" t="s">
        <v>3665</v>
      </c>
      <c r="D751" t="s">
        <v>131</v>
      </c>
      <c r="E751" t="s">
        <v>669</v>
      </c>
      <c r="F751">
        <v>2012</v>
      </c>
      <c r="G751" t="s">
        <v>1130</v>
      </c>
      <c r="H751" t="s">
        <v>3666</v>
      </c>
      <c r="I751" t="s">
        <v>3667</v>
      </c>
      <c r="J751" t="s">
        <v>26</v>
      </c>
      <c r="K751" t="s">
        <v>48</v>
      </c>
      <c r="L751" t="b">
        <v>1</v>
      </c>
      <c r="M751" t="s">
        <v>3668</v>
      </c>
      <c r="N751" t="str">
        <f>"823/.92"</f>
        <v>823/.92</v>
      </c>
      <c r="O751" t="s">
        <v>764</v>
      </c>
      <c r="P751" t="b">
        <v>1</v>
      </c>
      <c r="R751" t="str">
        <f>"9781849430371"</f>
        <v>9781849430371</v>
      </c>
      <c r="S751" t="str">
        <f>"9781849433518"</f>
        <v>9781849433518</v>
      </c>
      <c r="T751">
        <v>904397181</v>
      </c>
    </row>
    <row r="752" spans="1:20" x14ac:dyDescent="0.25">
      <c r="A752">
        <v>1025954</v>
      </c>
      <c r="B752" t="s">
        <v>3669</v>
      </c>
      <c r="C752" t="s">
        <v>3670</v>
      </c>
      <c r="D752" t="s">
        <v>131</v>
      </c>
      <c r="E752" t="s">
        <v>669</v>
      </c>
      <c r="F752">
        <v>2011</v>
      </c>
      <c r="G752" t="s">
        <v>3671</v>
      </c>
      <c r="H752" t="s">
        <v>3672</v>
      </c>
      <c r="I752" t="s">
        <v>3673</v>
      </c>
      <c r="J752" t="s">
        <v>26</v>
      </c>
      <c r="K752" t="s">
        <v>48</v>
      </c>
      <c r="L752" t="b">
        <v>1</v>
      </c>
      <c r="M752" t="s">
        <v>3674</v>
      </c>
      <c r="N752" t="str">
        <f>"780/.924"</f>
        <v>780/.924</v>
      </c>
      <c r="O752" t="s">
        <v>3000</v>
      </c>
      <c r="P752" t="b">
        <v>0</v>
      </c>
      <c r="R752" t="str">
        <f>"9781849430487"</f>
        <v>9781849430487</v>
      </c>
      <c r="S752" t="str">
        <f>"9781849433754"</f>
        <v>9781849433754</v>
      </c>
      <c r="T752">
        <v>881083393</v>
      </c>
    </row>
    <row r="753" spans="1:20" x14ac:dyDescent="0.25">
      <c r="A753">
        <v>1025951</v>
      </c>
      <c r="B753" t="s">
        <v>3675</v>
      </c>
      <c r="D753" t="s">
        <v>131</v>
      </c>
      <c r="E753" t="s">
        <v>669</v>
      </c>
      <c r="F753">
        <v>2012</v>
      </c>
      <c r="G753" t="s">
        <v>1130</v>
      </c>
      <c r="H753" t="s">
        <v>3676</v>
      </c>
      <c r="I753" t="s">
        <v>3677</v>
      </c>
      <c r="J753" t="s">
        <v>26</v>
      </c>
      <c r="K753" t="s">
        <v>48</v>
      </c>
      <c r="L753" t="b">
        <v>1</v>
      </c>
      <c r="M753" t="s">
        <v>3678</v>
      </c>
      <c r="N753" t="str">
        <f>"822.92"</f>
        <v>822.92</v>
      </c>
      <c r="O753" t="s">
        <v>912</v>
      </c>
      <c r="P753" t="b">
        <v>1</v>
      </c>
      <c r="R753" t="str">
        <f>"9781840026337"</f>
        <v>9781840026337</v>
      </c>
      <c r="S753" t="str">
        <f>"9781849437035"</f>
        <v>9781849437035</v>
      </c>
      <c r="T753">
        <v>870600454</v>
      </c>
    </row>
    <row r="754" spans="1:20" x14ac:dyDescent="0.25">
      <c r="A754">
        <v>1025944</v>
      </c>
      <c r="B754" t="s">
        <v>3679</v>
      </c>
      <c r="D754" t="s">
        <v>131</v>
      </c>
      <c r="E754" t="s">
        <v>669</v>
      </c>
      <c r="F754">
        <v>2012</v>
      </c>
      <c r="G754" t="s">
        <v>1130</v>
      </c>
      <c r="H754" t="s">
        <v>3680</v>
      </c>
      <c r="I754" t="s">
        <v>3681</v>
      </c>
      <c r="J754" t="s">
        <v>26</v>
      </c>
      <c r="K754" t="s">
        <v>48</v>
      </c>
      <c r="L754" t="b">
        <v>1</v>
      </c>
      <c r="M754" t="s">
        <v>3682</v>
      </c>
      <c r="N754" t="str">
        <f>"822.92080896"</f>
        <v>822.92080896</v>
      </c>
      <c r="O754" t="s">
        <v>3683</v>
      </c>
      <c r="P754" t="b">
        <v>1</v>
      </c>
      <c r="R754" t="str">
        <f>"9781849431484"</f>
        <v>9781849431484</v>
      </c>
      <c r="S754" t="str">
        <f>"9781849436984"</f>
        <v>9781849436984</v>
      </c>
      <c r="T754">
        <v>959613545</v>
      </c>
    </row>
    <row r="755" spans="1:20" x14ac:dyDescent="0.25">
      <c r="A755">
        <v>1025935</v>
      </c>
      <c r="B755" t="s">
        <v>3684</v>
      </c>
      <c r="C755" t="s">
        <v>3685</v>
      </c>
      <c r="D755" t="s">
        <v>131</v>
      </c>
      <c r="E755" t="s">
        <v>669</v>
      </c>
      <c r="F755">
        <v>2012</v>
      </c>
      <c r="G755" t="s">
        <v>1130</v>
      </c>
      <c r="H755" t="s">
        <v>3686</v>
      </c>
      <c r="I755" t="s">
        <v>3687</v>
      </c>
      <c r="J755" t="s">
        <v>26</v>
      </c>
      <c r="K755" t="s">
        <v>48</v>
      </c>
      <c r="L755" t="b">
        <v>1</v>
      </c>
      <c r="M755" t="s">
        <v>3688</v>
      </c>
      <c r="N755" t="str">
        <f>"822.92"</f>
        <v>822.92</v>
      </c>
      <c r="O755" t="s">
        <v>912</v>
      </c>
      <c r="P755" t="b">
        <v>1</v>
      </c>
      <c r="R755" t="str">
        <f>"9781849431859"</f>
        <v>9781849431859</v>
      </c>
      <c r="S755" t="str">
        <f>"9781849437134"</f>
        <v>9781849437134</v>
      </c>
      <c r="T755">
        <v>895732433</v>
      </c>
    </row>
    <row r="756" spans="1:20" x14ac:dyDescent="0.25">
      <c r="A756">
        <v>1025930</v>
      </c>
      <c r="B756" t="s">
        <v>3689</v>
      </c>
      <c r="D756" t="s">
        <v>131</v>
      </c>
      <c r="E756" t="s">
        <v>669</v>
      </c>
      <c r="F756">
        <v>2012</v>
      </c>
      <c r="G756" t="s">
        <v>1130</v>
      </c>
      <c r="H756" t="s">
        <v>3690</v>
      </c>
      <c r="I756" t="s">
        <v>3691</v>
      </c>
      <c r="J756" t="s">
        <v>26</v>
      </c>
      <c r="K756" t="s">
        <v>48</v>
      </c>
      <c r="L756" t="b">
        <v>1</v>
      </c>
      <c r="M756" t="s">
        <v>3692</v>
      </c>
      <c r="N756" t="str">
        <f>"812.6"</f>
        <v>812.6</v>
      </c>
      <c r="O756" t="s">
        <v>912</v>
      </c>
      <c r="P756" t="b">
        <v>1</v>
      </c>
      <c r="R756" t="str">
        <f>"9781849433877"</f>
        <v>9781849433877</v>
      </c>
      <c r="S756" t="str">
        <f>"9781849437592"</f>
        <v>9781849437592</v>
      </c>
      <c r="T756">
        <v>974349335</v>
      </c>
    </row>
    <row r="757" spans="1:20" x14ac:dyDescent="0.25">
      <c r="A757">
        <v>1025922</v>
      </c>
      <c r="B757" t="s">
        <v>3693</v>
      </c>
      <c r="D757" t="s">
        <v>131</v>
      </c>
      <c r="E757" t="s">
        <v>669</v>
      </c>
      <c r="F757">
        <v>2012</v>
      </c>
      <c r="G757" t="s">
        <v>1130</v>
      </c>
      <c r="H757" t="s">
        <v>3694</v>
      </c>
      <c r="I757" t="s">
        <v>3695</v>
      </c>
      <c r="J757" t="s">
        <v>26</v>
      </c>
      <c r="K757" t="s">
        <v>48</v>
      </c>
      <c r="L757" t="b">
        <v>1</v>
      </c>
      <c r="M757" t="s">
        <v>1267</v>
      </c>
      <c r="N757" t="str">
        <f>"822/.914"</f>
        <v>822/.914</v>
      </c>
      <c r="O757" t="s">
        <v>912</v>
      </c>
      <c r="P757" t="b">
        <v>1</v>
      </c>
      <c r="R757" t="str">
        <f>"9781849434683"</f>
        <v>9781849434683</v>
      </c>
      <c r="S757" t="str">
        <f>"9781849435574"</f>
        <v>9781849435574</v>
      </c>
      <c r="T757">
        <v>903055026</v>
      </c>
    </row>
    <row r="758" spans="1:20" x14ac:dyDescent="0.25">
      <c r="A758">
        <v>1025918</v>
      </c>
      <c r="B758" t="s">
        <v>3696</v>
      </c>
      <c r="D758" t="s">
        <v>131</v>
      </c>
      <c r="E758" t="s">
        <v>669</v>
      </c>
      <c r="F758">
        <v>2011</v>
      </c>
      <c r="G758" t="s">
        <v>1130</v>
      </c>
      <c r="H758" t="s">
        <v>3697</v>
      </c>
      <c r="I758" t="s">
        <v>3698</v>
      </c>
      <c r="J758" t="s">
        <v>26</v>
      </c>
      <c r="K758" t="s">
        <v>48</v>
      </c>
      <c r="L758" t="b">
        <v>1</v>
      </c>
      <c r="M758" t="s">
        <v>3699</v>
      </c>
      <c r="N758" t="str">
        <f>"822.914"</f>
        <v>822.914</v>
      </c>
      <c r="O758" t="s">
        <v>912</v>
      </c>
      <c r="P758" t="b">
        <v>1</v>
      </c>
      <c r="R758" t="str">
        <f>"9781849431972"</f>
        <v>9781849431972</v>
      </c>
      <c r="S758" t="str">
        <f>"9781849435130"</f>
        <v>9781849435130</v>
      </c>
      <c r="T758">
        <v>903910631</v>
      </c>
    </row>
    <row r="759" spans="1:20" x14ac:dyDescent="0.25">
      <c r="A759">
        <v>1025913</v>
      </c>
      <c r="B759" t="s">
        <v>3700</v>
      </c>
      <c r="D759" t="s">
        <v>131</v>
      </c>
      <c r="E759" t="s">
        <v>669</v>
      </c>
      <c r="F759">
        <v>2012</v>
      </c>
      <c r="G759" t="s">
        <v>1130</v>
      </c>
      <c r="H759" t="s">
        <v>3701</v>
      </c>
      <c r="J759" t="s">
        <v>26</v>
      </c>
      <c r="K759" t="s">
        <v>48</v>
      </c>
      <c r="L759" t="b">
        <v>1</v>
      </c>
      <c r="M759" t="s">
        <v>3702</v>
      </c>
      <c r="N759" t="str">
        <f>"820.8009"</f>
        <v>820.8009</v>
      </c>
      <c r="O759" t="s">
        <v>912</v>
      </c>
      <c r="P759" t="b">
        <v>1</v>
      </c>
      <c r="R759" t="str">
        <f>"9781849430005"</f>
        <v>9781849430005</v>
      </c>
      <c r="S759" t="str">
        <f>"9781849437523"</f>
        <v>9781849437523</v>
      </c>
      <c r="T759">
        <v>870600402</v>
      </c>
    </row>
    <row r="760" spans="1:20" x14ac:dyDescent="0.25">
      <c r="A760">
        <v>1019356</v>
      </c>
      <c r="B760" t="s">
        <v>3703</v>
      </c>
      <c r="C760" t="s">
        <v>3704</v>
      </c>
      <c r="D760" t="s">
        <v>1364</v>
      </c>
      <c r="E760" t="s">
        <v>1365</v>
      </c>
      <c r="F760">
        <v>2015</v>
      </c>
      <c r="G760" t="s">
        <v>3705</v>
      </c>
      <c r="H760" t="s">
        <v>3706</v>
      </c>
      <c r="I760" t="s">
        <v>3707</v>
      </c>
      <c r="J760" t="s">
        <v>26</v>
      </c>
      <c r="K760" t="s">
        <v>86</v>
      </c>
      <c r="L760" t="b">
        <v>1</v>
      </c>
      <c r="M760" t="s">
        <v>3708</v>
      </c>
      <c r="N760" t="str">
        <f>"940.31"</f>
        <v>940.31</v>
      </c>
      <c r="O760" t="s">
        <v>1848</v>
      </c>
      <c r="P760" t="b">
        <v>0</v>
      </c>
      <c r="R760" t="str">
        <f>"9783110346220"</f>
        <v>9783110346220</v>
      </c>
      <c r="S760" t="str">
        <f>"9783110435993"</f>
        <v>9783110435993</v>
      </c>
      <c r="T760">
        <v>919488175</v>
      </c>
    </row>
    <row r="761" spans="1:20" x14ac:dyDescent="0.25">
      <c r="A761">
        <v>1018581</v>
      </c>
      <c r="B761" t="s">
        <v>3709</v>
      </c>
      <c r="C761" t="s">
        <v>3710</v>
      </c>
      <c r="D761" t="s">
        <v>107</v>
      </c>
      <c r="E761" t="s">
        <v>108</v>
      </c>
      <c r="F761">
        <v>2014</v>
      </c>
      <c r="G761" t="s">
        <v>1873</v>
      </c>
      <c r="H761" t="s">
        <v>3711</v>
      </c>
      <c r="I761" t="s">
        <v>3712</v>
      </c>
      <c r="J761" t="s">
        <v>26</v>
      </c>
      <c r="K761" t="s">
        <v>86</v>
      </c>
      <c r="L761" t="b">
        <v>1</v>
      </c>
      <c r="M761" t="s">
        <v>3713</v>
      </c>
      <c r="N761" t="str">
        <f>"361"</f>
        <v>361</v>
      </c>
      <c r="O761" t="s">
        <v>1565</v>
      </c>
      <c r="P761" t="b">
        <v>0</v>
      </c>
      <c r="Q761" t="b">
        <v>0</v>
      </c>
      <c r="R761" t="str">
        <f>"9781780460246"</f>
        <v>9781780460246</v>
      </c>
      <c r="S761" t="str">
        <f>"9781780465227"</f>
        <v>9781780465227</v>
      </c>
      <c r="T761">
        <v>898103465</v>
      </c>
    </row>
    <row r="762" spans="1:20" x14ac:dyDescent="0.25">
      <c r="A762">
        <v>1018578</v>
      </c>
      <c r="B762" t="s">
        <v>3714</v>
      </c>
      <c r="D762" t="s">
        <v>107</v>
      </c>
      <c r="E762" t="s">
        <v>108</v>
      </c>
      <c r="F762">
        <v>2015</v>
      </c>
      <c r="G762" t="s">
        <v>1478</v>
      </c>
      <c r="H762" t="s">
        <v>3715</v>
      </c>
      <c r="I762" t="s">
        <v>3716</v>
      </c>
      <c r="J762" t="s">
        <v>26</v>
      </c>
      <c r="K762" t="s">
        <v>86</v>
      </c>
      <c r="L762" t="b">
        <v>1</v>
      </c>
      <c r="M762" t="s">
        <v>3717</v>
      </c>
      <c r="N762" t="str">
        <f>"294.4"</f>
        <v>294.4</v>
      </c>
      <c r="O762" t="s">
        <v>3718</v>
      </c>
      <c r="P762" t="b">
        <v>0</v>
      </c>
      <c r="Q762" t="b">
        <v>0</v>
      </c>
      <c r="R762" t="str">
        <f>"9781780460321"</f>
        <v>9781780460321</v>
      </c>
      <c r="S762" t="str">
        <f>"9781780465357"</f>
        <v>9781780465357</v>
      </c>
      <c r="T762">
        <v>909143679</v>
      </c>
    </row>
    <row r="763" spans="1:20" x14ac:dyDescent="0.25">
      <c r="A763">
        <v>1018577</v>
      </c>
      <c r="B763" t="s">
        <v>3719</v>
      </c>
      <c r="C763" t="s">
        <v>3720</v>
      </c>
      <c r="D763" t="s">
        <v>107</v>
      </c>
      <c r="E763" t="s">
        <v>108</v>
      </c>
      <c r="F763">
        <v>2015</v>
      </c>
      <c r="G763" t="s">
        <v>3721</v>
      </c>
      <c r="H763" t="s">
        <v>3722</v>
      </c>
      <c r="I763" t="s">
        <v>3723</v>
      </c>
      <c r="J763" t="s">
        <v>26</v>
      </c>
      <c r="K763" t="s">
        <v>86</v>
      </c>
      <c r="L763" t="b">
        <v>1</v>
      </c>
      <c r="M763" t="s">
        <v>3724</v>
      </c>
      <c r="N763" t="str">
        <f>"362.7"</f>
        <v>362.7</v>
      </c>
      <c r="O763" t="s">
        <v>815</v>
      </c>
      <c r="P763" t="b">
        <v>0</v>
      </c>
      <c r="Q763" t="b">
        <v>0</v>
      </c>
      <c r="R763" t="str">
        <f>"9781780460369"</f>
        <v>9781780460369</v>
      </c>
      <c r="S763" t="str">
        <f>"9781780465371"</f>
        <v>9781780465371</v>
      </c>
      <c r="T763">
        <v>994407422</v>
      </c>
    </row>
    <row r="764" spans="1:20" x14ac:dyDescent="0.25">
      <c r="A764">
        <v>1018575</v>
      </c>
      <c r="B764" t="s">
        <v>3725</v>
      </c>
      <c r="D764" t="s">
        <v>107</v>
      </c>
      <c r="E764" t="s">
        <v>108</v>
      </c>
      <c r="F764">
        <v>2015</v>
      </c>
      <c r="G764" t="s">
        <v>3726</v>
      </c>
      <c r="H764" t="s">
        <v>3727</v>
      </c>
      <c r="I764" t="s">
        <v>3728</v>
      </c>
      <c r="J764" t="s">
        <v>26</v>
      </c>
      <c r="K764" t="s">
        <v>86</v>
      </c>
      <c r="L764" t="b">
        <v>1</v>
      </c>
      <c r="M764" t="s">
        <v>3729</v>
      </c>
      <c r="N764" t="str">
        <f>"552.5"</f>
        <v>552.5</v>
      </c>
      <c r="P764" t="b">
        <v>0</v>
      </c>
      <c r="Q764" t="b">
        <v>0</v>
      </c>
      <c r="R764" t="str">
        <f>"9781780460178"</f>
        <v>9781780460178</v>
      </c>
      <c r="S764" t="str">
        <f>"9781780465319"</f>
        <v>9781780465319</v>
      </c>
      <c r="T764">
        <v>915940745</v>
      </c>
    </row>
    <row r="765" spans="1:20" x14ac:dyDescent="0.25">
      <c r="A765">
        <v>1018574</v>
      </c>
      <c r="B765" t="s">
        <v>3730</v>
      </c>
      <c r="D765" t="s">
        <v>107</v>
      </c>
      <c r="E765" t="s">
        <v>108</v>
      </c>
      <c r="F765">
        <v>2015</v>
      </c>
      <c r="G765" t="s">
        <v>3726</v>
      </c>
      <c r="H765" t="s">
        <v>3731</v>
      </c>
      <c r="I765" t="s">
        <v>3732</v>
      </c>
      <c r="J765" t="s">
        <v>26</v>
      </c>
      <c r="K765" t="s">
        <v>86</v>
      </c>
      <c r="L765" t="b">
        <v>1</v>
      </c>
      <c r="M765" t="s">
        <v>3733</v>
      </c>
      <c r="N765" t="str">
        <f>"549"</f>
        <v>549</v>
      </c>
      <c r="P765" t="b">
        <v>0</v>
      </c>
      <c r="Q765" t="b">
        <v>0</v>
      </c>
      <c r="R765" t="str">
        <f>"9781780460284"</f>
        <v>9781780460284</v>
      </c>
      <c r="S765" t="str">
        <f>"9781780465203"</f>
        <v>9781780465203</v>
      </c>
      <c r="T765">
        <v>914289860</v>
      </c>
    </row>
    <row r="766" spans="1:20" x14ac:dyDescent="0.25">
      <c r="A766">
        <v>1018571</v>
      </c>
      <c r="B766" t="s">
        <v>3734</v>
      </c>
      <c r="C766" t="s">
        <v>3735</v>
      </c>
      <c r="D766" t="s">
        <v>107</v>
      </c>
      <c r="E766" t="s">
        <v>108</v>
      </c>
      <c r="F766">
        <v>2014</v>
      </c>
      <c r="G766" t="s">
        <v>3736</v>
      </c>
      <c r="H766" t="s">
        <v>3737</v>
      </c>
      <c r="I766" t="s">
        <v>3738</v>
      </c>
      <c r="J766" t="s">
        <v>26</v>
      </c>
      <c r="K766" t="s">
        <v>86</v>
      </c>
      <c r="L766" t="b">
        <v>1</v>
      </c>
      <c r="M766" t="s">
        <v>3739</v>
      </c>
      <c r="N766" t="str">
        <f>"520"</f>
        <v>520</v>
      </c>
      <c r="O766" t="s">
        <v>3740</v>
      </c>
      <c r="P766" t="b">
        <v>0</v>
      </c>
      <c r="Q766" t="b">
        <v>0</v>
      </c>
      <c r="R766" t="str">
        <f>"9781780460253"</f>
        <v>9781780460253</v>
      </c>
      <c r="S766" t="str">
        <f>"9781780465159"</f>
        <v>9781780465159</v>
      </c>
      <c r="T766">
        <v>890090393</v>
      </c>
    </row>
    <row r="767" spans="1:20" x14ac:dyDescent="0.25">
      <c r="A767">
        <v>1017368</v>
      </c>
      <c r="B767" t="s">
        <v>3741</v>
      </c>
      <c r="D767" t="s">
        <v>22</v>
      </c>
      <c r="E767" t="s">
        <v>22</v>
      </c>
      <c r="F767">
        <v>2015</v>
      </c>
      <c r="G767" t="s">
        <v>57</v>
      </c>
      <c r="H767" t="s">
        <v>3742</v>
      </c>
      <c r="I767" t="s">
        <v>3743</v>
      </c>
      <c r="J767" t="s">
        <v>26</v>
      </c>
      <c r="K767" t="s">
        <v>27</v>
      </c>
      <c r="L767" t="b">
        <v>1</v>
      </c>
      <c r="M767" t="s">
        <v>3744</v>
      </c>
      <c r="N767" t="str">
        <f>"304.2"</f>
        <v>304.2</v>
      </c>
      <c r="O767" t="s">
        <v>3745</v>
      </c>
      <c r="P767" t="b">
        <v>0</v>
      </c>
      <c r="Q767" t="b">
        <v>0</v>
      </c>
      <c r="R767" t="str">
        <f>"9789089644725"</f>
        <v>9789089644725</v>
      </c>
      <c r="S767" t="str">
        <f>"9789048517800"</f>
        <v>9789048517800</v>
      </c>
      <c r="T767">
        <v>914245300</v>
      </c>
    </row>
    <row r="768" spans="1:20" x14ac:dyDescent="0.25">
      <c r="A768">
        <v>1017263</v>
      </c>
      <c r="B768" t="s">
        <v>3746</v>
      </c>
      <c r="C768" t="s">
        <v>3747</v>
      </c>
      <c r="D768" t="s">
        <v>131</v>
      </c>
      <c r="E768" t="s">
        <v>552</v>
      </c>
      <c r="F768">
        <v>2015</v>
      </c>
      <c r="G768" t="s">
        <v>3748</v>
      </c>
      <c r="H768" t="s">
        <v>3749</v>
      </c>
      <c r="I768" t="s">
        <v>3750</v>
      </c>
      <c r="J768" t="s">
        <v>26</v>
      </c>
      <c r="K768" t="s">
        <v>48</v>
      </c>
      <c r="L768" t="b">
        <v>1</v>
      </c>
      <c r="M768" t="s">
        <v>3751</v>
      </c>
      <c r="N768" t="str">
        <f>"305"</f>
        <v>305</v>
      </c>
      <c r="P768" t="b">
        <v>0</v>
      </c>
      <c r="Q768" t="b">
        <v>0</v>
      </c>
      <c r="R768" t="str">
        <f>"9781780747415"</f>
        <v>9781780747415</v>
      </c>
      <c r="S768" t="str">
        <f>"9781780748047"</f>
        <v>9781780748047</v>
      </c>
      <c r="T768">
        <v>961882718</v>
      </c>
    </row>
    <row r="769" spans="1:20" x14ac:dyDescent="0.25">
      <c r="A769">
        <v>1016088</v>
      </c>
      <c r="B769" t="s">
        <v>3752</v>
      </c>
      <c r="D769" t="s">
        <v>131</v>
      </c>
      <c r="E769" t="s">
        <v>2329</v>
      </c>
      <c r="F769">
        <v>2015</v>
      </c>
      <c r="G769" t="s">
        <v>676</v>
      </c>
      <c r="H769" t="s">
        <v>2950</v>
      </c>
      <c r="I769" t="s">
        <v>3753</v>
      </c>
      <c r="J769" t="s">
        <v>26</v>
      </c>
      <c r="K769" t="s">
        <v>48</v>
      </c>
      <c r="L769" t="b">
        <v>1</v>
      </c>
      <c r="M769" t="s">
        <v>3754</v>
      </c>
      <c r="N769" t="str">
        <f>"700.1/05"</f>
        <v>700.1/05</v>
      </c>
      <c r="P769" t="b">
        <v>0</v>
      </c>
      <c r="Q769" t="b">
        <v>0</v>
      </c>
      <c r="R769" t="str">
        <f>"9780789212191"</f>
        <v>9780789212191</v>
      </c>
      <c r="S769" t="str">
        <f>"9780789260567"</f>
        <v>9780789260567</v>
      </c>
      <c r="T769">
        <v>934626524</v>
      </c>
    </row>
    <row r="770" spans="1:20" x14ac:dyDescent="0.25">
      <c r="A770">
        <v>1016015</v>
      </c>
      <c r="B770" t="s">
        <v>3755</v>
      </c>
      <c r="C770" t="s">
        <v>3756</v>
      </c>
      <c r="D770" t="s">
        <v>131</v>
      </c>
      <c r="E770" t="s">
        <v>276</v>
      </c>
      <c r="F770">
        <v>2015</v>
      </c>
      <c r="G770" t="s">
        <v>3757</v>
      </c>
      <c r="H770" t="s">
        <v>3758</v>
      </c>
      <c r="I770" t="s">
        <v>3759</v>
      </c>
      <c r="J770" t="s">
        <v>26</v>
      </c>
      <c r="K770" t="s">
        <v>86</v>
      </c>
      <c r="L770" t="b">
        <v>1</v>
      </c>
      <c r="M770" t="s">
        <v>3760</v>
      </c>
      <c r="N770" t="str">
        <f>"398/.41"</f>
        <v>398/.41</v>
      </c>
      <c r="P770" t="b">
        <v>0</v>
      </c>
      <c r="Q770" t="b">
        <v>0</v>
      </c>
      <c r="R770" t="str">
        <f>"9781595342492"</f>
        <v>9781595342492</v>
      </c>
      <c r="S770" t="str">
        <f>"9781595342508"</f>
        <v>9781595342508</v>
      </c>
      <c r="T770">
        <v>948754035</v>
      </c>
    </row>
    <row r="771" spans="1:20" x14ac:dyDescent="0.25">
      <c r="A771">
        <v>1016014</v>
      </c>
      <c r="B771" t="s">
        <v>3761</v>
      </c>
      <c r="C771" t="s">
        <v>3762</v>
      </c>
      <c r="D771" t="s">
        <v>131</v>
      </c>
      <c r="E771" t="s">
        <v>276</v>
      </c>
      <c r="F771">
        <v>2015</v>
      </c>
      <c r="G771" t="s">
        <v>283</v>
      </c>
      <c r="H771" t="s">
        <v>3763</v>
      </c>
      <c r="I771" t="s">
        <v>3764</v>
      </c>
      <c r="J771" t="s">
        <v>26</v>
      </c>
      <c r="K771" t="s">
        <v>86</v>
      </c>
      <c r="L771" t="b">
        <v>1</v>
      </c>
      <c r="M771" t="s">
        <v>3765</v>
      </c>
      <c r="N771" t="str">
        <f>"363.37/90976432"</f>
        <v>363.37/90976432</v>
      </c>
      <c r="P771" t="b">
        <v>0</v>
      </c>
      <c r="Q771" t="b">
        <v>0</v>
      </c>
      <c r="R771" t="str">
        <f>"9781595342591"</f>
        <v>9781595342591</v>
      </c>
      <c r="S771" t="str">
        <f>"9781595342607"</f>
        <v>9781595342607</v>
      </c>
      <c r="T771">
        <v>908671075</v>
      </c>
    </row>
    <row r="772" spans="1:20" x14ac:dyDescent="0.25">
      <c r="A772">
        <v>1015857</v>
      </c>
      <c r="B772" t="s">
        <v>3766</v>
      </c>
      <c r="C772" t="s">
        <v>3767</v>
      </c>
      <c r="D772" t="s">
        <v>123</v>
      </c>
      <c r="E772" t="s">
        <v>124</v>
      </c>
      <c r="F772">
        <v>2015</v>
      </c>
      <c r="G772" t="s">
        <v>1921</v>
      </c>
      <c r="H772" t="s">
        <v>3768</v>
      </c>
      <c r="I772" t="s">
        <v>3769</v>
      </c>
      <c r="J772" t="s">
        <v>26</v>
      </c>
      <c r="K772" t="s">
        <v>48</v>
      </c>
      <c r="L772" t="b">
        <v>1</v>
      </c>
      <c r="M772" t="s">
        <v>3770</v>
      </c>
      <c r="N772" t="str">
        <f>"612.803"</f>
        <v>612.803</v>
      </c>
      <c r="P772" t="b">
        <v>0</v>
      </c>
      <c r="Q772" t="b">
        <v>0</v>
      </c>
      <c r="R772" t="str">
        <f>"9781632205599"</f>
        <v>9781632205599</v>
      </c>
      <c r="S772" t="str">
        <f>"9781632209757"</f>
        <v>9781632209757</v>
      </c>
      <c r="T772">
        <v>929952069</v>
      </c>
    </row>
    <row r="773" spans="1:20" x14ac:dyDescent="0.25">
      <c r="A773">
        <v>1015753</v>
      </c>
      <c r="B773" t="s">
        <v>3771</v>
      </c>
      <c r="C773" t="s">
        <v>3772</v>
      </c>
      <c r="D773" t="s">
        <v>123</v>
      </c>
      <c r="E773" t="s">
        <v>1927</v>
      </c>
      <c r="F773">
        <v>2015</v>
      </c>
      <c r="G773" t="s">
        <v>3773</v>
      </c>
      <c r="H773" t="s">
        <v>3774</v>
      </c>
      <c r="I773" t="s">
        <v>3775</v>
      </c>
      <c r="J773" t="s">
        <v>26</v>
      </c>
      <c r="K773" t="s">
        <v>48</v>
      </c>
      <c r="L773" t="b">
        <v>1</v>
      </c>
      <c r="M773" t="s">
        <v>3776</v>
      </c>
      <c r="N773" t="str">
        <f>"325.73"</f>
        <v>325.73</v>
      </c>
      <c r="P773" t="b">
        <v>0</v>
      </c>
      <c r="Q773" t="b">
        <v>0</v>
      </c>
      <c r="R773" t="str">
        <f>"9781621572671"</f>
        <v>9781621572671</v>
      </c>
      <c r="S773" t="str">
        <f>"9781621572749"</f>
        <v>9781621572749</v>
      </c>
      <c r="T773">
        <v>907542015</v>
      </c>
    </row>
    <row r="774" spans="1:20" x14ac:dyDescent="0.25">
      <c r="A774">
        <v>1015686</v>
      </c>
      <c r="B774" t="s">
        <v>3777</v>
      </c>
      <c r="C774" t="s">
        <v>3778</v>
      </c>
      <c r="D774" t="s">
        <v>131</v>
      </c>
      <c r="E774" t="s">
        <v>552</v>
      </c>
      <c r="F774">
        <v>2015</v>
      </c>
      <c r="G774" t="s">
        <v>3779</v>
      </c>
      <c r="H774" t="s">
        <v>3780</v>
      </c>
      <c r="I774" t="s">
        <v>3781</v>
      </c>
      <c r="J774" t="s">
        <v>26</v>
      </c>
      <c r="K774" t="s">
        <v>48</v>
      </c>
      <c r="L774" t="b">
        <v>1</v>
      </c>
      <c r="M774" t="s">
        <v>3782</v>
      </c>
      <c r="N774" t="str">
        <f>"305.42092"</f>
        <v>305.42092</v>
      </c>
      <c r="P774" t="b">
        <v>0</v>
      </c>
      <c r="Q774" t="b">
        <v>0</v>
      </c>
      <c r="R774" t="str">
        <f>"9781780747088"</f>
        <v>9781780747088</v>
      </c>
      <c r="S774" t="str">
        <f>"9781780747095"</f>
        <v>9781780747095</v>
      </c>
      <c r="T774">
        <v>907310175</v>
      </c>
    </row>
    <row r="775" spans="1:20" x14ac:dyDescent="0.25">
      <c r="A775">
        <v>1015395</v>
      </c>
      <c r="B775" t="s">
        <v>3783</v>
      </c>
      <c r="C775" t="s">
        <v>3784</v>
      </c>
      <c r="D775" t="s">
        <v>131</v>
      </c>
      <c r="E775" t="s">
        <v>3785</v>
      </c>
      <c r="F775">
        <v>2015</v>
      </c>
      <c r="G775" t="s">
        <v>3786</v>
      </c>
      <c r="H775" t="s">
        <v>3787</v>
      </c>
      <c r="I775" t="s">
        <v>3788</v>
      </c>
      <c r="J775" t="s">
        <v>26</v>
      </c>
      <c r="K775" t="s">
        <v>48</v>
      </c>
      <c r="L775" t="b">
        <v>1</v>
      </c>
      <c r="M775" t="s">
        <v>3789</v>
      </c>
      <c r="N775" t="str">
        <f>"623.74/69"</f>
        <v>623.74/69</v>
      </c>
      <c r="P775" t="b">
        <v>0</v>
      </c>
      <c r="Q775" t="b">
        <v>0</v>
      </c>
      <c r="R775" t="str">
        <f>"9781566569897"</f>
        <v>9781566569897</v>
      </c>
      <c r="S775" t="str">
        <f>"9781623710651"</f>
        <v>9781623710651</v>
      </c>
      <c r="T775">
        <v>915158310</v>
      </c>
    </row>
    <row r="776" spans="1:20" x14ac:dyDescent="0.25">
      <c r="A776">
        <v>1015348</v>
      </c>
      <c r="B776" t="s">
        <v>3790</v>
      </c>
      <c r="C776" t="s">
        <v>3791</v>
      </c>
      <c r="D776" t="s">
        <v>131</v>
      </c>
      <c r="E776" t="s">
        <v>1737</v>
      </c>
      <c r="F776">
        <v>2015</v>
      </c>
      <c r="G776" t="s">
        <v>3792</v>
      </c>
      <c r="H776" t="s">
        <v>3793</v>
      </c>
      <c r="I776" t="s">
        <v>3794</v>
      </c>
      <c r="J776" t="s">
        <v>26</v>
      </c>
      <c r="K776" t="s">
        <v>86</v>
      </c>
      <c r="L776" t="b">
        <v>1</v>
      </c>
      <c r="M776" t="s">
        <v>3795</v>
      </c>
      <c r="N776" t="str">
        <f>"612.3"</f>
        <v>612.3</v>
      </c>
      <c r="P776" t="b">
        <v>0</v>
      </c>
      <c r="Q776" t="b">
        <v>0</v>
      </c>
      <c r="R776" t="str">
        <f>"9781771641494"</f>
        <v>9781771641494</v>
      </c>
      <c r="S776" t="str">
        <f>"9781771641500"</f>
        <v>9781771641500</v>
      </c>
      <c r="T776">
        <v>906839374</v>
      </c>
    </row>
    <row r="777" spans="1:20" x14ac:dyDescent="0.25">
      <c r="A777">
        <v>1014834</v>
      </c>
      <c r="B777" t="s">
        <v>3796</v>
      </c>
      <c r="C777" t="s">
        <v>3797</v>
      </c>
      <c r="D777" t="s">
        <v>2269</v>
      </c>
      <c r="E777" t="s">
        <v>2269</v>
      </c>
      <c r="F777">
        <v>2004</v>
      </c>
      <c r="G777" t="s">
        <v>394</v>
      </c>
      <c r="H777" t="s">
        <v>3798</v>
      </c>
      <c r="I777" t="s">
        <v>3799</v>
      </c>
      <c r="J777" t="s">
        <v>26</v>
      </c>
      <c r="K777" t="s">
        <v>27</v>
      </c>
      <c r="L777" t="b">
        <v>1</v>
      </c>
      <c r="M777" t="s">
        <v>3800</v>
      </c>
      <c r="N777" t="str">
        <f>"621.402/1"</f>
        <v>621.402/1</v>
      </c>
      <c r="O777" t="s">
        <v>3801</v>
      </c>
      <c r="P777" t="b">
        <v>0</v>
      </c>
      <c r="Q777" t="b">
        <v>0</v>
      </c>
      <c r="R777" t="str">
        <f>"9781590339145"</f>
        <v>9781590339145</v>
      </c>
      <c r="S777" t="str">
        <f>"9781634832021"</f>
        <v>9781634832021</v>
      </c>
      <c r="T777">
        <v>911266562</v>
      </c>
    </row>
    <row r="778" spans="1:20" x14ac:dyDescent="0.25">
      <c r="A778">
        <v>1014151</v>
      </c>
      <c r="B778" t="s">
        <v>3802</v>
      </c>
      <c r="D778" t="s">
        <v>203</v>
      </c>
      <c r="E778" t="s">
        <v>3803</v>
      </c>
      <c r="F778">
        <v>2010</v>
      </c>
      <c r="G778" t="s">
        <v>172</v>
      </c>
      <c r="H778" t="s">
        <v>3804</v>
      </c>
      <c r="I778" t="s">
        <v>3805</v>
      </c>
      <c r="J778" t="s">
        <v>26</v>
      </c>
      <c r="K778" t="s">
        <v>48</v>
      </c>
      <c r="L778" t="b">
        <v>1</v>
      </c>
      <c r="M778" t="s">
        <v>3806</v>
      </c>
      <c r="N778" t="str">
        <f>"339.52"</f>
        <v>339.52</v>
      </c>
      <c r="P778" t="b">
        <v>0</v>
      </c>
      <c r="R778" t="str">
        <f>"9781589069374"</f>
        <v>9781589069374</v>
      </c>
      <c r="S778" t="str">
        <f>"9781455289912"</f>
        <v>9781455289912</v>
      </c>
      <c r="T778">
        <v>815739190</v>
      </c>
    </row>
    <row r="779" spans="1:20" x14ac:dyDescent="0.25">
      <c r="A779">
        <v>1014149</v>
      </c>
      <c r="B779" t="s">
        <v>3807</v>
      </c>
      <c r="D779" t="s">
        <v>203</v>
      </c>
      <c r="E779" t="s">
        <v>3803</v>
      </c>
      <c r="F779">
        <v>2010</v>
      </c>
      <c r="G779" t="s">
        <v>172</v>
      </c>
      <c r="H779" t="s">
        <v>3808</v>
      </c>
      <c r="I779" t="s">
        <v>3809</v>
      </c>
      <c r="J779" t="s">
        <v>26</v>
      </c>
      <c r="K779" t="s">
        <v>48</v>
      </c>
      <c r="L779" t="b">
        <v>1</v>
      </c>
      <c r="M779" t="s">
        <v>3810</v>
      </c>
      <c r="N779" t="str">
        <f>"338.542"</f>
        <v>338.542</v>
      </c>
      <c r="P779" t="b">
        <v>0</v>
      </c>
      <c r="R779" t="str">
        <f>"9781589069299"</f>
        <v>9781589069299</v>
      </c>
      <c r="S779" t="str">
        <f>"9781452796130"</f>
        <v>9781452796130</v>
      </c>
      <c r="T779">
        <v>759790738</v>
      </c>
    </row>
    <row r="780" spans="1:20" x14ac:dyDescent="0.25">
      <c r="A780">
        <v>1014132</v>
      </c>
      <c r="B780" t="s">
        <v>3811</v>
      </c>
      <c r="D780" t="s">
        <v>203</v>
      </c>
      <c r="E780" t="s">
        <v>3803</v>
      </c>
      <c r="F780">
        <v>2010</v>
      </c>
      <c r="G780" t="s">
        <v>172</v>
      </c>
      <c r="H780" t="s">
        <v>3812</v>
      </c>
      <c r="I780" t="s">
        <v>3813</v>
      </c>
      <c r="J780" t="s">
        <v>26</v>
      </c>
      <c r="K780" t="s">
        <v>48</v>
      </c>
      <c r="L780" t="b">
        <v>1</v>
      </c>
      <c r="M780" t="s">
        <v>3814</v>
      </c>
      <c r="N780" t="str">
        <f>"332.4/5"</f>
        <v>332.4/5</v>
      </c>
      <c r="O780" t="s">
        <v>3815</v>
      </c>
      <c r="P780" t="b">
        <v>0</v>
      </c>
      <c r="R780" t="str">
        <f>"9781589069312"</f>
        <v>9781589069312</v>
      </c>
      <c r="S780" t="str">
        <f>"9781452763446"</f>
        <v>9781452763446</v>
      </c>
      <c r="T780">
        <v>612000667</v>
      </c>
    </row>
    <row r="781" spans="1:20" x14ac:dyDescent="0.25">
      <c r="A781">
        <v>1013829</v>
      </c>
      <c r="B781" t="s">
        <v>3816</v>
      </c>
      <c r="D781" t="s">
        <v>203</v>
      </c>
      <c r="E781" t="s">
        <v>3803</v>
      </c>
      <c r="F781">
        <v>2008</v>
      </c>
      <c r="G781" t="s">
        <v>172</v>
      </c>
      <c r="H781" t="s">
        <v>3817</v>
      </c>
      <c r="I781" t="s">
        <v>3818</v>
      </c>
      <c r="J781" t="s">
        <v>26</v>
      </c>
      <c r="K781" t="s">
        <v>48</v>
      </c>
      <c r="L781" t="b">
        <v>1</v>
      </c>
      <c r="M781" t="s">
        <v>3819</v>
      </c>
      <c r="N781" t="str">
        <f>"336.2/91"</f>
        <v>336.2/91</v>
      </c>
      <c r="P781" t="b">
        <v>0</v>
      </c>
      <c r="R781" t="str">
        <f>"9781589067363"</f>
        <v>9781589067363</v>
      </c>
      <c r="S781" t="str">
        <f>"9781452781624"</f>
        <v>9781452781624</v>
      </c>
      <c r="T781">
        <v>935924507</v>
      </c>
    </row>
    <row r="782" spans="1:20" x14ac:dyDescent="0.25">
      <c r="A782">
        <v>1013827</v>
      </c>
      <c r="B782" t="s">
        <v>3820</v>
      </c>
      <c r="D782" t="s">
        <v>203</v>
      </c>
      <c r="E782" t="s">
        <v>3803</v>
      </c>
      <c r="F782">
        <v>2007</v>
      </c>
      <c r="G782" t="s">
        <v>2689</v>
      </c>
      <c r="H782" t="s">
        <v>3821</v>
      </c>
      <c r="I782" t="s">
        <v>3822</v>
      </c>
      <c r="J782" t="s">
        <v>26</v>
      </c>
      <c r="K782" t="s">
        <v>48</v>
      </c>
      <c r="L782" t="b">
        <v>1</v>
      </c>
      <c r="M782" t="s">
        <v>3823</v>
      </c>
      <c r="N782" t="str">
        <f>"338.433621"</f>
        <v>338.433621</v>
      </c>
      <c r="P782" t="b">
        <v>0</v>
      </c>
      <c r="R782" t="str">
        <f>"9781589066182"</f>
        <v>9781589066182</v>
      </c>
      <c r="S782" t="str">
        <f>"9781452716039"</f>
        <v>9781452716039</v>
      </c>
      <c r="T782">
        <v>815749780</v>
      </c>
    </row>
    <row r="783" spans="1:20" x14ac:dyDescent="0.25">
      <c r="A783">
        <v>1013826</v>
      </c>
      <c r="B783" t="s">
        <v>3824</v>
      </c>
      <c r="D783" t="s">
        <v>203</v>
      </c>
      <c r="E783" t="s">
        <v>3803</v>
      </c>
      <c r="F783">
        <v>2007</v>
      </c>
      <c r="G783" t="s">
        <v>172</v>
      </c>
      <c r="H783" t="s">
        <v>3825</v>
      </c>
      <c r="I783" t="s">
        <v>3826</v>
      </c>
      <c r="J783" t="s">
        <v>26</v>
      </c>
      <c r="K783" t="s">
        <v>48</v>
      </c>
      <c r="L783" t="b">
        <v>1</v>
      </c>
      <c r="M783" t="s">
        <v>3827</v>
      </c>
      <c r="N783" t="str">
        <f>"338.955"</f>
        <v>338.955</v>
      </c>
      <c r="P783" t="b">
        <v>0</v>
      </c>
      <c r="R783" t="str">
        <f>"9781589064416"</f>
        <v>9781589064416</v>
      </c>
      <c r="S783" t="str">
        <f>"9781452718057"</f>
        <v>9781452718057</v>
      </c>
      <c r="T783">
        <v>919201397</v>
      </c>
    </row>
    <row r="784" spans="1:20" x14ac:dyDescent="0.25">
      <c r="A784">
        <v>1013813</v>
      </c>
      <c r="B784" t="s">
        <v>3828</v>
      </c>
      <c r="D784" t="s">
        <v>203</v>
      </c>
      <c r="E784" t="s">
        <v>3803</v>
      </c>
      <c r="F784">
        <v>2004</v>
      </c>
      <c r="G784" t="s">
        <v>172</v>
      </c>
      <c r="H784" t="s">
        <v>3829</v>
      </c>
      <c r="I784" t="s">
        <v>3830</v>
      </c>
      <c r="J784" t="s">
        <v>26</v>
      </c>
      <c r="K784" t="s">
        <v>48</v>
      </c>
      <c r="L784" t="b">
        <v>1</v>
      </c>
      <c r="M784" t="s">
        <v>3831</v>
      </c>
      <c r="N784" t="str">
        <f>"338.2728096"</f>
        <v>338.2728096</v>
      </c>
      <c r="P784" t="b">
        <v>0</v>
      </c>
      <c r="R784" t="str">
        <f>"9781589063174"</f>
        <v>9781589063174</v>
      </c>
      <c r="S784" t="str">
        <f>"9781452793733"</f>
        <v>9781452793733</v>
      </c>
      <c r="T784">
        <v>652217152</v>
      </c>
    </row>
    <row r="785" spans="1:20" x14ac:dyDescent="0.25">
      <c r="A785">
        <v>1013709</v>
      </c>
      <c r="B785" t="s">
        <v>3832</v>
      </c>
      <c r="D785" t="s">
        <v>203</v>
      </c>
      <c r="E785" t="s">
        <v>3803</v>
      </c>
      <c r="F785">
        <v>2007</v>
      </c>
      <c r="G785" t="s">
        <v>172</v>
      </c>
      <c r="H785" t="s">
        <v>3833</v>
      </c>
      <c r="I785" t="s">
        <v>3834</v>
      </c>
      <c r="J785" t="s">
        <v>26</v>
      </c>
      <c r="K785" t="s">
        <v>48</v>
      </c>
      <c r="L785" t="b">
        <v>1</v>
      </c>
      <c r="M785" t="s">
        <v>3835</v>
      </c>
      <c r="N785" t="str">
        <f>"338.910967"</f>
        <v>338.910967</v>
      </c>
      <c r="O785" t="s">
        <v>3836</v>
      </c>
      <c r="P785" t="b">
        <v>0</v>
      </c>
      <c r="R785" t="str">
        <f>"9781589066359"</f>
        <v>9781589066359</v>
      </c>
      <c r="S785" t="str">
        <f>"9781452798783"</f>
        <v>9781452798783</v>
      </c>
      <c r="T785">
        <v>655556856</v>
      </c>
    </row>
    <row r="786" spans="1:20" x14ac:dyDescent="0.25">
      <c r="A786">
        <v>1013691</v>
      </c>
      <c r="B786" t="s">
        <v>3837</v>
      </c>
      <c r="D786" t="s">
        <v>203</v>
      </c>
      <c r="E786" t="s">
        <v>3803</v>
      </c>
      <c r="F786">
        <v>2006</v>
      </c>
      <c r="G786" t="s">
        <v>172</v>
      </c>
      <c r="H786" t="s">
        <v>3838</v>
      </c>
      <c r="I786" t="s">
        <v>3839</v>
      </c>
      <c r="J786" t="s">
        <v>26</v>
      </c>
      <c r="K786" t="s">
        <v>48</v>
      </c>
      <c r="L786" t="b">
        <v>1</v>
      </c>
      <c r="M786" t="s">
        <v>3840</v>
      </c>
      <c r="N786" t="str">
        <f>"338.95695"</f>
        <v>338.95695</v>
      </c>
      <c r="O786" t="s">
        <v>3836</v>
      </c>
      <c r="P786" t="b">
        <v>0</v>
      </c>
      <c r="R786" t="str">
        <f>"9781589064959"</f>
        <v>9781589064959</v>
      </c>
      <c r="S786" t="str">
        <f>"9781452745305"</f>
        <v>9781452745305</v>
      </c>
      <c r="T786">
        <v>858673352</v>
      </c>
    </row>
    <row r="787" spans="1:20" x14ac:dyDescent="0.25">
      <c r="A787">
        <v>1009614</v>
      </c>
      <c r="B787" t="s">
        <v>3841</v>
      </c>
      <c r="D787" t="s">
        <v>203</v>
      </c>
      <c r="E787" t="s">
        <v>637</v>
      </c>
      <c r="F787">
        <v>2012</v>
      </c>
      <c r="G787" t="s">
        <v>645</v>
      </c>
      <c r="H787" t="s">
        <v>3842</v>
      </c>
      <c r="I787" t="s">
        <v>3843</v>
      </c>
      <c r="J787" t="s">
        <v>26</v>
      </c>
      <c r="K787" t="s">
        <v>48</v>
      </c>
      <c r="L787" t="b">
        <v>1</v>
      </c>
      <c r="M787" t="s">
        <v>3844</v>
      </c>
      <c r="N787" t="str">
        <f>"940.54293"</f>
        <v>940.54293</v>
      </c>
      <c r="P787" t="b">
        <v>0</v>
      </c>
      <c r="R787" t="str">
        <f>"9781856359344"</f>
        <v>9781856359344</v>
      </c>
      <c r="S787" t="str">
        <f>"9781781170960"</f>
        <v>9781781170960</v>
      </c>
      <c r="T787">
        <v>870598197</v>
      </c>
    </row>
    <row r="788" spans="1:20" x14ac:dyDescent="0.25">
      <c r="A788">
        <v>1009528</v>
      </c>
      <c r="B788" t="s">
        <v>3845</v>
      </c>
      <c r="D788" t="s">
        <v>644</v>
      </c>
      <c r="E788" t="s">
        <v>637</v>
      </c>
      <c r="F788">
        <v>2012</v>
      </c>
      <c r="G788" t="s">
        <v>645</v>
      </c>
      <c r="H788" t="s">
        <v>3846</v>
      </c>
      <c r="J788" t="s">
        <v>26</v>
      </c>
      <c r="K788" t="s">
        <v>48</v>
      </c>
      <c r="L788" t="b">
        <v>1</v>
      </c>
      <c r="M788" t="s">
        <v>3847</v>
      </c>
      <c r="N788" t="str">
        <f>"941.70821"</f>
        <v>941.70821</v>
      </c>
      <c r="P788" t="b">
        <v>0</v>
      </c>
      <c r="R788" t="str">
        <f>"9781781170588"</f>
        <v>9781781170588</v>
      </c>
      <c r="S788" t="str">
        <f>"9781781171448"</f>
        <v>9781781171448</v>
      </c>
      <c r="T788">
        <v>903611371</v>
      </c>
    </row>
    <row r="789" spans="1:20" x14ac:dyDescent="0.25">
      <c r="A789">
        <v>1009518</v>
      </c>
      <c r="B789" t="s">
        <v>3848</v>
      </c>
      <c r="D789" t="s">
        <v>203</v>
      </c>
      <c r="E789" t="s">
        <v>637</v>
      </c>
      <c r="F789">
        <v>2011</v>
      </c>
      <c r="G789" t="s">
        <v>645</v>
      </c>
      <c r="H789" t="s">
        <v>3849</v>
      </c>
      <c r="I789" t="s">
        <v>3850</v>
      </c>
      <c r="J789" t="s">
        <v>26</v>
      </c>
      <c r="K789" t="s">
        <v>48</v>
      </c>
      <c r="L789" t="b">
        <v>1</v>
      </c>
      <c r="M789" t="s">
        <v>3851</v>
      </c>
      <c r="N789" t="str">
        <f>"900"</f>
        <v>900</v>
      </c>
      <c r="P789" t="b">
        <v>0</v>
      </c>
      <c r="R789" t="str">
        <f>"9781856351485"</f>
        <v>9781856351485</v>
      </c>
      <c r="S789" t="str">
        <f>"9781856358408"</f>
        <v>9781856358408</v>
      </c>
      <c r="T789">
        <v>870598218</v>
      </c>
    </row>
    <row r="790" spans="1:20" x14ac:dyDescent="0.25">
      <c r="A790">
        <v>1009517</v>
      </c>
      <c r="B790" t="s">
        <v>3852</v>
      </c>
      <c r="D790" t="s">
        <v>203</v>
      </c>
      <c r="E790" t="s">
        <v>637</v>
      </c>
      <c r="F790">
        <v>2012</v>
      </c>
      <c r="G790" t="s">
        <v>645</v>
      </c>
      <c r="H790" t="s">
        <v>3853</v>
      </c>
      <c r="I790" t="s">
        <v>647</v>
      </c>
      <c r="J790" t="s">
        <v>26</v>
      </c>
      <c r="K790" t="s">
        <v>48</v>
      </c>
      <c r="L790" t="b">
        <v>1</v>
      </c>
      <c r="M790" t="s">
        <v>3854</v>
      </c>
      <c r="N790" t="str">
        <f>"941.50822092"</f>
        <v>941.50822092</v>
      </c>
      <c r="P790" t="b">
        <v>0</v>
      </c>
      <c r="R790" t="str">
        <f>"9781781170328"</f>
        <v>9781781170328</v>
      </c>
      <c r="S790" t="str">
        <f>"9781781171004"</f>
        <v>9781781171004</v>
      </c>
      <c r="T790">
        <v>870598217</v>
      </c>
    </row>
    <row r="791" spans="1:20" x14ac:dyDescent="0.25">
      <c r="A791">
        <v>1009410</v>
      </c>
      <c r="B791" t="s">
        <v>3855</v>
      </c>
      <c r="D791" t="s">
        <v>644</v>
      </c>
      <c r="E791" t="s">
        <v>637</v>
      </c>
      <c r="F791">
        <v>1994</v>
      </c>
      <c r="G791" t="s">
        <v>645</v>
      </c>
      <c r="H791" t="s">
        <v>3856</v>
      </c>
      <c r="I791" t="s">
        <v>3857</v>
      </c>
      <c r="J791" t="s">
        <v>26</v>
      </c>
      <c r="K791" t="s">
        <v>48</v>
      </c>
      <c r="L791" t="b">
        <v>1</v>
      </c>
      <c r="M791" t="s">
        <v>3858</v>
      </c>
      <c r="N791" t="str">
        <f>"304.8/710415"</f>
        <v>304.8/710415</v>
      </c>
      <c r="P791" t="b">
        <v>0</v>
      </c>
      <c r="R791" t="str">
        <f>"9781856350914"</f>
        <v>9781856350914</v>
      </c>
      <c r="S791" t="str">
        <f>"9781856357463"</f>
        <v>9781856357463</v>
      </c>
      <c r="T791">
        <v>434086857</v>
      </c>
    </row>
    <row r="792" spans="1:20" x14ac:dyDescent="0.25">
      <c r="A792">
        <v>1008761</v>
      </c>
      <c r="B792" t="s">
        <v>3859</v>
      </c>
      <c r="D792" t="s">
        <v>203</v>
      </c>
      <c r="E792" t="s">
        <v>2788</v>
      </c>
      <c r="F792">
        <v>2009</v>
      </c>
      <c r="G792" t="s">
        <v>1444</v>
      </c>
      <c r="H792" t="s">
        <v>3860</v>
      </c>
      <c r="I792" t="s">
        <v>3861</v>
      </c>
      <c r="J792" t="s">
        <v>26</v>
      </c>
      <c r="K792" t="s">
        <v>86</v>
      </c>
      <c r="L792" t="b">
        <v>1</v>
      </c>
      <c r="M792" t="s">
        <v>3862</v>
      </c>
      <c r="N792" t="str">
        <f>"346.048"</f>
        <v>346.048</v>
      </c>
      <c r="P792" t="b">
        <v>0</v>
      </c>
      <c r="R792" t="str">
        <f>"9781904887300"</f>
        <v>9781904887300</v>
      </c>
      <c r="S792" t="str">
        <f>"9781781190272"</f>
        <v>9781781190272</v>
      </c>
      <c r="T792">
        <v>870598632</v>
      </c>
    </row>
    <row r="793" spans="1:20" x14ac:dyDescent="0.25">
      <c r="A793">
        <v>1008496</v>
      </c>
      <c r="B793" t="s">
        <v>3863</v>
      </c>
      <c r="D793" t="s">
        <v>203</v>
      </c>
      <c r="E793" t="s">
        <v>637</v>
      </c>
      <c r="F793">
        <v>2011</v>
      </c>
      <c r="G793" t="s">
        <v>645</v>
      </c>
      <c r="H793" t="s">
        <v>3864</v>
      </c>
      <c r="J793" t="s">
        <v>26</v>
      </c>
      <c r="K793" t="s">
        <v>48</v>
      </c>
      <c r="L793" t="b">
        <v>1</v>
      </c>
      <c r="M793" t="s">
        <v>3865</v>
      </c>
      <c r="N793" t="str">
        <f>"941.69/3"</f>
        <v>941.69/3</v>
      </c>
      <c r="P793" t="b">
        <v>0</v>
      </c>
      <c r="R793" t="str">
        <f>"9781856357203"</f>
        <v>9781856357203</v>
      </c>
      <c r="S793" t="str">
        <f>"9781856358248"</f>
        <v>9781856358248</v>
      </c>
      <c r="T793">
        <v>795183554</v>
      </c>
    </row>
    <row r="794" spans="1:20" x14ac:dyDescent="0.25">
      <c r="A794">
        <v>1008495</v>
      </c>
      <c r="B794" t="s">
        <v>3866</v>
      </c>
      <c r="D794" t="s">
        <v>203</v>
      </c>
      <c r="E794" t="s">
        <v>637</v>
      </c>
      <c r="F794">
        <v>2011</v>
      </c>
      <c r="G794" t="s">
        <v>645</v>
      </c>
      <c r="H794" t="s">
        <v>3867</v>
      </c>
      <c r="J794" t="s">
        <v>26</v>
      </c>
      <c r="K794" t="s">
        <v>48</v>
      </c>
      <c r="L794" t="b">
        <v>1</v>
      </c>
      <c r="M794" t="s">
        <v>3868</v>
      </c>
      <c r="N794" t="str">
        <f>"941.85"</f>
        <v>941.85</v>
      </c>
      <c r="P794" t="b">
        <v>0</v>
      </c>
      <c r="R794" t="str">
        <f>"9781856357579"</f>
        <v>9781856357579</v>
      </c>
      <c r="S794" t="str">
        <f>"9781856359580"</f>
        <v>9781856359580</v>
      </c>
      <c r="T794">
        <v>969047783</v>
      </c>
    </row>
    <row r="795" spans="1:20" x14ac:dyDescent="0.25">
      <c r="A795">
        <v>1008486</v>
      </c>
      <c r="B795" t="s">
        <v>3869</v>
      </c>
      <c r="D795" t="s">
        <v>203</v>
      </c>
      <c r="E795" t="s">
        <v>637</v>
      </c>
      <c r="F795">
        <v>1983</v>
      </c>
      <c r="G795" t="s">
        <v>645</v>
      </c>
      <c r="H795" t="s">
        <v>3870</v>
      </c>
      <c r="J795" t="s">
        <v>26</v>
      </c>
      <c r="K795" t="s">
        <v>48</v>
      </c>
      <c r="L795" t="b">
        <v>1</v>
      </c>
      <c r="M795" t="s">
        <v>3871</v>
      </c>
      <c r="N795" t="str">
        <f>"941.501092"</f>
        <v>941.501092</v>
      </c>
      <c r="P795" t="b">
        <v>0</v>
      </c>
      <c r="R795" t="str">
        <f>"9781856357197"</f>
        <v>9781856357197</v>
      </c>
      <c r="S795" t="str">
        <f>"9781856359450"</f>
        <v>9781856359450</v>
      </c>
      <c r="T795">
        <v>795174886</v>
      </c>
    </row>
    <row r="796" spans="1:20" x14ac:dyDescent="0.25">
      <c r="A796">
        <v>1008483</v>
      </c>
      <c r="B796" t="s">
        <v>3872</v>
      </c>
      <c r="D796" t="s">
        <v>203</v>
      </c>
      <c r="E796" t="s">
        <v>637</v>
      </c>
      <c r="F796">
        <v>2011</v>
      </c>
      <c r="G796" t="s">
        <v>3873</v>
      </c>
      <c r="H796" t="s">
        <v>3874</v>
      </c>
      <c r="J796" t="s">
        <v>26</v>
      </c>
      <c r="K796" t="s">
        <v>48</v>
      </c>
      <c r="L796" t="b">
        <v>1</v>
      </c>
      <c r="M796" t="s">
        <v>3875</v>
      </c>
      <c r="N796" t="str">
        <f>"355.009"</f>
        <v>355.009</v>
      </c>
      <c r="O796" t="s">
        <v>3876</v>
      </c>
      <c r="P796" t="b">
        <v>0</v>
      </c>
      <c r="R796" t="str">
        <f>"9781856356800"</f>
        <v>9781856356800</v>
      </c>
      <c r="S796" t="str">
        <f>"9781856359399"</f>
        <v>9781856359399</v>
      </c>
      <c r="T796">
        <v>795174892</v>
      </c>
    </row>
    <row r="797" spans="1:20" x14ac:dyDescent="0.25">
      <c r="A797">
        <v>1008366</v>
      </c>
      <c r="B797" t="s">
        <v>3877</v>
      </c>
      <c r="D797" t="s">
        <v>203</v>
      </c>
      <c r="E797" t="s">
        <v>637</v>
      </c>
      <c r="F797">
        <v>2008</v>
      </c>
      <c r="G797" t="s">
        <v>645</v>
      </c>
      <c r="H797" t="s">
        <v>3878</v>
      </c>
      <c r="I797" t="s">
        <v>3879</v>
      </c>
      <c r="J797" t="s">
        <v>26</v>
      </c>
      <c r="K797" t="s">
        <v>86</v>
      </c>
      <c r="L797" t="b">
        <v>1</v>
      </c>
      <c r="M797" t="s">
        <v>3880</v>
      </c>
      <c r="N797" t="str">
        <f>"940.54/1273"</f>
        <v>940.54/1273</v>
      </c>
      <c r="P797" t="b">
        <v>0</v>
      </c>
      <c r="R797" t="str">
        <f>"9781856355896"</f>
        <v>9781856355896</v>
      </c>
      <c r="S797" t="str">
        <f>"9781856357265"</f>
        <v>9781856357265</v>
      </c>
      <c r="T797">
        <v>891646323</v>
      </c>
    </row>
    <row r="798" spans="1:20" x14ac:dyDescent="0.25">
      <c r="A798">
        <v>1008360</v>
      </c>
      <c r="B798" t="s">
        <v>3881</v>
      </c>
      <c r="D798" t="s">
        <v>203</v>
      </c>
      <c r="E798" t="s">
        <v>637</v>
      </c>
      <c r="F798">
        <v>2010</v>
      </c>
      <c r="G798" t="s">
        <v>645</v>
      </c>
      <c r="H798" t="s">
        <v>3882</v>
      </c>
      <c r="I798" t="s">
        <v>3883</v>
      </c>
      <c r="J798" t="s">
        <v>26</v>
      </c>
      <c r="K798" t="s">
        <v>48</v>
      </c>
      <c r="L798" t="b">
        <v>1</v>
      </c>
      <c r="M798" t="s">
        <v>3884</v>
      </c>
      <c r="N798" t="str">
        <f>"623.830941835"</f>
        <v>623.830941835</v>
      </c>
      <c r="P798" t="b">
        <v>0</v>
      </c>
      <c r="R798" t="str">
        <f>"9781856356855"</f>
        <v>9781856356855</v>
      </c>
      <c r="S798" t="str">
        <f>"9781856357357"</f>
        <v>9781856357357</v>
      </c>
      <c r="T798">
        <v>881712001</v>
      </c>
    </row>
    <row r="799" spans="1:20" x14ac:dyDescent="0.25">
      <c r="A799">
        <v>1008351</v>
      </c>
      <c r="B799" t="s">
        <v>3885</v>
      </c>
      <c r="D799" t="s">
        <v>203</v>
      </c>
      <c r="E799" t="s">
        <v>637</v>
      </c>
      <c r="F799">
        <v>2010</v>
      </c>
      <c r="G799" t="s">
        <v>645</v>
      </c>
      <c r="H799" t="s">
        <v>3886</v>
      </c>
      <c r="I799" t="s">
        <v>3887</v>
      </c>
      <c r="J799" t="s">
        <v>26</v>
      </c>
      <c r="K799" t="s">
        <v>86</v>
      </c>
      <c r="L799" t="b">
        <v>1</v>
      </c>
      <c r="M799" t="s">
        <v>3888</v>
      </c>
      <c r="N799" t="str">
        <f>"941"</f>
        <v>941</v>
      </c>
      <c r="P799" t="b">
        <v>0</v>
      </c>
      <c r="R799" t="str">
        <f>"9781856356770"</f>
        <v>9781856356770</v>
      </c>
      <c r="S799" t="str">
        <f>"9781856357388"</f>
        <v>9781856357388</v>
      </c>
      <c r="T799">
        <v>881711966</v>
      </c>
    </row>
    <row r="800" spans="1:20" x14ac:dyDescent="0.25">
      <c r="A800">
        <v>1008341</v>
      </c>
      <c r="B800" t="s">
        <v>3889</v>
      </c>
      <c r="D800" t="s">
        <v>203</v>
      </c>
      <c r="E800" t="s">
        <v>637</v>
      </c>
      <c r="F800">
        <v>2010</v>
      </c>
      <c r="G800" t="s">
        <v>645</v>
      </c>
      <c r="H800" t="s">
        <v>3890</v>
      </c>
      <c r="I800" t="s">
        <v>3891</v>
      </c>
      <c r="J800" t="s">
        <v>26</v>
      </c>
      <c r="K800" t="s">
        <v>86</v>
      </c>
      <c r="L800" t="b">
        <v>1</v>
      </c>
      <c r="M800" t="s">
        <v>3892</v>
      </c>
      <c r="N800" t="str">
        <f>"355.30922415"</f>
        <v>355.30922415</v>
      </c>
      <c r="P800" t="b">
        <v>0</v>
      </c>
      <c r="R800" t="str">
        <f>"9781856356626"</f>
        <v>9781856356626</v>
      </c>
      <c r="S800" t="str">
        <f>"9781856357340"</f>
        <v>9781856357340</v>
      </c>
      <c r="T800">
        <v>785572979</v>
      </c>
    </row>
    <row r="801" spans="1:20" x14ac:dyDescent="0.25">
      <c r="A801">
        <v>1008319</v>
      </c>
      <c r="B801" t="s">
        <v>3893</v>
      </c>
      <c r="D801" t="s">
        <v>203</v>
      </c>
      <c r="E801" t="s">
        <v>637</v>
      </c>
      <c r="F801">
        <v>2004</v>
      </c>
      <c r="G801" t="s">
        <v>645</v>
      </c>
      <c r="H801" t="s">
        <v>3894</v>
      </c>
      <c r="J801" t="s">
        <v>26</v>
      </c>
      <c r="K801" t="s">
        <v>86</v>
      </c>
      <c r="L801" t="b">
        <v>1</v>
      </c>
      <c r="M801" t="s">
        <v>3895</v>
      </c>
      <c r="N801" t="str">
        <f>"941.5"</f>
        <v>941.5</v>
      </c>
      <c r="P801" t="b">
        <v>0</v>
      </c>
      <c r="R801" t="str">
        <f>"9781856354233"</f>
        <v>9781856354233</v>
      </c>
      <c r="S801" t="str">
        <f>"9781856358002"</f>
        <v>9781856358002</v>
      </c>
      <c r="T801">
        <v>607419236</v>
      </c>
    </row>
    <row r="802" spans="1:20" x14ac:dyDescent="0.25">
      <c r="A802">
        <v>1002621</v>
      </c>
      <c r="B802" t="s">
        <v>3896</v>
      </c>
      <c r="D802" t="s">
        <v>644</v>
      </c>
      <c r="E802" t="s">
        <v>3897</v>
      </c>
      <c r="F802">
        <v>2014</v>
      </c>
      <c r="G802" t="s">
        <v>577</v>
      </c>
      <c r="H802" t="s">
        <v>3898</v>
      </c>
      <c r="I802" t="s">
        <v>3899</v>
      </c>
      <c r="J802" t="s">
        <v>26</v>
      </c>
      <c r="K802" t="s">
        <v>27</v>
      </c>
      <c r="L802" t="b">
        <v>1</v>
      </c>
      <c r="M802" t="s">
        <v>3900</v>
      </c>
      <c r="N802" t="str">
        <f>"861/.64"</f>
        <v>861/.64</v>
      </c>
      <c r="P802" t="b">
        <v>0</v>
      </c>
      <c r="Q802" t="b">
        <v>0</v>
      </c>
      <c r="R802" t="str">
        <f>"9781602356061"</f>
        <v>9781602356061</v>
      </c>
      <c r="S802" t="str">
        <f>"9781602356078"</f>
        <v>9781602356078</v>
      </c>
      <c r="T802">
        <v>896791621</v>
      </c>
    </row>
    <row r="803" spans="1:20" x14ac:dyDescent="0.25">
      <c r="A803">
        <v>1002620</v>
      </c>
      <c r="B803" t="s">
        <v>3901</v>
      </c>
      <c r="D803" t="s">
        <v>644</v>
      </c>
      <c r="E803" t="s">
        <v>3897</v>
      </c>
      <c r="F803">
        <v>2015</v>
      </c>
      <c r="G803" t="s">
        <v>3902</v>
      </c>
      <c r="H803" t="s">
        <v>3903</v>
      </c>
      <c r="I803" t="s">
        <v>3904</v>
      </c>
      <c r="J803" t="s">
        <v>26</v>
      </c>
      <c r="K803" t="s">
        <v>27</v>
      </c>
      <c r="L803" t="b">
        <v>1</v>
      </c>
      <c r="M803" t="s">
        <v>3905</v>
      </c>
      <c r="N803" t="str">
        <f>"808/.0420785"</f>
        <v>808/.0420785</v>
      </c>
      <c r="O803" t="s">
        <v>3906</v>
      </c>
      <c r="P803" t="b">
        <v>0</v>
      </c>
      <c r="Q803" t="b">
        <v>0</v>
      </c>
      <c r="R803" t="str">
        <f>"9781602356658"</f>
        <v>9781602356658</v>
      </c>
      <c r="S803" t="str">
        <f>"9781602356672"</f>
        <v>9781602356672</v>
      </c>
      <c r="T803">
        <v>905668050</v>
      </c>
    </row>
    <row r="804" spans="1:20" x14ac:dyDescent="0.25">
      <c r="A804">
        <v>1002619</v>
      </c>
      <c r="B804" t="s">
        <v>3907</v>
      </c>
      <c r="C804" t="s">
        <v>3908</v>
      </c>
      <c r="D804" t="s">
        <v>644</v>
      </c>
      <c r="E804" t="s">
        <v>3897</v>
      </c>
      <c r="F804">
        <v>2015</v>
      </c>
      <c r="G804" t="s">
        <v>3909</v>
      </c>
      <c r="H804" t="s">
        <v>3903</v>
      </c>
      <c r="I804" t="s">
        <v>3910</v>
      </c>
      <c r="J804" t="s">
        <v>26</v>
      </c>
      <c r="K804" t="s">
        <v>27</v>
      </c>
      <c r="L804" t="b">
        <v>1</v>
      </c>
      <c r="M804" t="s">
        <v>3911</v>
      </c>
      <c r="N804" t="str">
        <f>"808/.04207"</f>
        <v>808/.04207</v>
      </c>
      <c r="O804" t="s">
        <v>3912</v>
      </c>
      <c r="P804" t="b">
        <v>0</v>
      </c>
      <c r="Q804" t="b">
        <v>0</v>
      </c>
      <c r="R804" t="str">
        <f>"9781602356603"</f>
        <v>9781602356603</v>
      </c>
      <c r="S804" t="str">
        <f>"9781602356627"</f>
        <v>9781602356627</v>
      </c>
      <c r="T804">
        <v>903812785</v>
      </c>
    </row>
    <row r="805" spans="1:20" x14ac:dyDescent="0.25">
      <c r="A805">
        <v>1002618</v>
      </c>
      <c r="B805" t="s">
        <v>3913</v>
      </c>
      <c r="C805" t="s">
        <v>3914</v>
      </c>
      <c r="D805" t="s">
        <v>644</v>
      </c>
      <c r="E805" t="s">
        <v>3897</v>
      </c>
      <c r="F805">
        <v>2015</v>
      </c>
      <c r="G805" t="s">
        <v>818</v>
      </c>
      <c r="H805" t="s">
        <v>3903</v>
      </c>
      <c r="I805" t="s">
        <v>3915</v>
      </c>
      <c r="J805" t="s">
        <v>26</v>
      </c>
      <c r="K805" t="s">
        <v>27</v>
      </c>
      <c r="L805" t="b">
        <v>1</v>
      </c>
      <c r="M805" t="s">
        <v>3916</v>
      </c>
      <c r="N805" t="str">
        <f>"808/.04207"</f>
        <v>808/.04207</v>
      </c>
      <c r="O805" t="s">
        <v>3912</v>
      </c>
      <c r="P805" t="b">
        <v>0</v>
      </c>
      <c r="Q805" t="b">
        <v>0</v>
      </c>
      <c r="R805" t="str">
        <f>"9781602356511"</f>
        <v>9781602356511</v>
      </c>
      <c r="S805" t="str">
        <f>"9781602356535"</f>
        <v>9781602356535</v>
      </c>
      <c r="T805">
        <v>903688736</v>
      </c>
    </row>
    <row r="806" spans="1:20" x14ac:dyDescent="0.25">
      <c r="A806">
        <v>1002617</v>
      </c>
      <c r="B806" t="s">
        <v>3917</v>
      </c>
      <c r="C806" t="s">
        <v>3918</v>
      </c>
      <c r="D806" t="s">
        <v>644</v>
      </c>
      <c r="E806" t="s">
        <v>3897</v>
      </c>
      <c r="F806">
        <v>2015</v>
      </c>
      <c r="G806" t="s">
        <v>2771</v>
      </c>
      <c r="H806" t="s">
        <v>3919</v>
      </c>
      <c r="I806" t="s">
        <v>3920</v>
      </c>
      <c r="J806" t="s">
        <v>26</v>
      </c>
      <c r="K806" t="s">
        <v>86</v>
      </c>
      <c r="L806" t="b">
        <v>1</v>
      </c>
      <c r="M806" t="s">
        <v>3921</v>
      </c>
      <c r="N806" t="str">
        <f>"808.4"</f>
        <v>808.4</v>
      </c>
      <c r="O806" t="s">
        <v>3912</v>
      </c>
      <c r="P806" t="b">
        <v>0</v>
      </c>
      <c r="Q806" t="b">
        <v>0</v>
      </c>
      <c r="R806" t="str">
        <f>"9781602356467"</f>
        <v>9781602356467</v>
      </c>
      <c r="S806" t="str">
        <f>"9781602356474"</f>
        <v>9781602356474</v>
      </c>
      <c r="T806">
        <v>903812784</v>
      </c>
    </row>
    <row r="807" spans="1:20" x14ac:dyDescent="0.25">
      <c r="A807">
        <v>1002616</v>
      </c>
      <c r="B807" t="s">
        <v>3922</v>
      </c>
      <c r="D807" t="s">
        <v>644</v>
      </c>
      <c r="E807" t="s">
        <v>3897</v>
      </c>
      <c r="F807">
        <v>2015</v>
      </c>
      <c r="G807" t="s">
        <v>3923</v>
      </c>
      <c r="H807" t="s">
        <v>3924</v>
      </c>
      <c r="I807" t="s">
        <v>3925</v>
      </c>
      <c r="J807" t="s">
        <v>26</v>
      </c>
      <c r="K807" t="s">
        <v>27</v>
      </c>
      <c r="L807" t="b">
        <v>1</v>
      </c>
      <c r="M807" t="s">
        <v>3926</v>
      </c>
      <c r="N807" t="str">
        <f>"808.04207"</f>
        <v>808.04207</v>
      </c>
      <c r="P807" t="b">
        <v>0</v>
      </c>
      <c r="Q807" t="b">
        <v>0</v>
      </c>
      <c r="R807" t="str">
        <f>"9781602356429"</f>
        <v>9781602356429</v>
      </c>
      <c r="S807" t="str">
        <f>"9781602356436"</f>
        <v>9781602356436</v>
      </c>
      <c r="T807">
        <v>1010984963</v>
      </c>
    </row>
    <row r="808" spans="1:20" x14ac:dyDescent="0.25">
      <c r="A808">
        <v>1002611</v>
      </c>
      <c r="B808" t="s">
        <v>3927</v>
      </c>
      <c r="C808" t="s">
        <v>3928</v>
      </c>
      <c r="D808" t="s">
        <v>644</v>
      </c>
      <c r="E808" t="s">
        <v>3897</v>
      </c>
      <c r="F808">
        <v>2014</v>
      </c>
      <c r="G808" t="s">
        <v>197</v>
      </c>
      <c r="H808" t="s">
        <v>3929</v>
      </c>
      <c r="I808" t="s">
        <v>3930</v>
      </c>
      <c r="J808" t="s">
        <v>26</v>
      </c>
      <c r="K808" t="s">
        <v>27</v>
      </c>
      <c r="L808" t="b">
        <v>1</v>
      </c>
      <c r="M808" t="s">
        <v>3931</v>
      </c>
      <c r="N808" t="str">
        <f>"808.3"</f>
        <v>808.3</v>
      </c>
      <c r="O808" t="s">
        <v>3932</v>
      </c>
      <c r="P808" t="b">
        <v>0</v>
      </c>
      <c r="Q808" t="b">
        <v>0</v>
      </c>
      <c r="R808" t="str">
        <f>"9781602356122"</f>
        <v>9781602356122</v>
      </c>
      <c r="S808" t="str">
        <f>"9781602356146"</f>
        <v>9781602356146</v>
      </c>
      <c r="T808">
        <v>896791594</v>
      </c>
    </row>
    <row r="809" spans="1:20" x14ac:dyDescent="0.25">
      <c r="A809">
        <v>1002604</v>
      </c>
      <c r="B809" t="s">
        <v>3933</v>
      </c>
      <c r="C809" t="s">
        <v>3934</v>
      </c>
      <c r="D809" t="s">
        <v>644</v>
      </c>
      <c r="E809" t="s">
        <v>3897</v>
      </c>
      <c r="F809">
        <v>2014</v>
      </c>
      <c r="G809" t="s">
        <v>3902</v>
      </c>
      <c r="H809" t="s">
        <v>3935</v>
      </c>
      <c r="I809" t="s">
        <v>3936</v>
      </c>
      <c r="J809" t="s">
        <v>26</v>
      </c>
      <c r="K809" t="s">
        <v>27</v>
      </c>
      <c r="L809" t="b">
        <v>1</v>
      </c>
      <c r="M809" t="s">
        <v>3937</v>
      </c>
      <c r="N809" t="str">
        <f>"371.33/44678"</f>
        <v>371.33/44678</v>
      </c>
      <c r="P809" t="b">
        <v>0</v>
      </c>
      <c r="Q809" t="b">
        <v>0</v>
      </c>
      <c r="R809" t="str">
        <f>"9781602355330"</f>
        <v>9781602355330</v>
      </c>
      <c r="S809" t="str">
        <f>"9781602355354"</f>
        <v>9781602355354</v>
      </c>
      <c r="T809">
        <v>875989698</v>
      </c>
    </row>
    <row r="810" spans="1:20" x14ac:dyDescent="0.25">
      <c r="A810">
        <v>1002602</v>
      </c>
      <c r="B810" t="s">
        <v>3938</v>
      </c>
      <c r="C810" t="s">
        <v>3939</v>
      </c>
      <c r="D810" t="s">
        <v>644</v>
      </c>
      <c r="E810" t="s">
        <v>3897</v>
      </c>
      <c r="F810">
        <v>2014</v>
      </c>
      <c r="G810" t="s">
        <v>2771</v>
      </c>
      <c r="H810" t="s">
        <v>3940</v>
      </c>
      <c r="I810" t="s">
        <v>3941</v>
      </c>
      <c r="J810" t="s">
        <v>26</v>
      </c>
      <c r="K810" t="s">
        <v>86</v>
      </c>
      <c r="L810" t="b">
        <v>1</v>
      </c>
      <c r="M810" t="s">
        <v>3942</v>
      </c>
      <c r="N810" t="str">
        <f>"808/.042071"</f>
        <v>808/.042071</v>
      </c>
      <c r="O810" t="s">
        <v>3943</v>
      </c>
      <c r="P810" t="b">
        <v>0</v>
      </c>
      <c r="Q810" t="b">
        <v>0</v>
      </c>
      <c r="R810" t="str">
        <f>"9781602355187"</f>
        <v>9781602355187</v>
      </c>
      <c r="S810" t="str">
        <f>"9781602355200"</f>
        <v>9781602355200</v>
      </c>
      <c r="T810">
        <v>919087558</v>
      </c>
    </row>
    <row r="811" spans="1:20" x14ac:dyDescent="0.25">
      <c r="A811">
        <v>1002601</v>
      </c>
      <c r="B811" t="s">
        <v>3944</v>
      </c>
      <c r="C811" t="s">
        <v>3945</v>
      </c>
      <c r="D811" t="s">
        <v>644</v>
      </c>
      <c r="E811" t="s">
        <v>3897</v>
      </c>
      <c r="F811">
        <v>2015</v>
      </c>
      <c r="G811" t="s">
        <v>3946</v>
      </c>
      <c r="H811" t="s">
        <v>3947</v>
      </c>
      <c r="I811" t="s">
        <v>3948</v>
      </c>
      <c r="J811" t="s">
        <v>26</v>
      </c>
      <c r="K811" t="s">
        <v>86</v>
      </c>
      <c r="L811" t="b">
        <v>1</v>
      </c>
      <c r="M811" t="s">
        <v>3949</v>
      </c>
      <c r="N811" t="str">
        <f>"808/.0420711"</f>
        <v>808/.0420711</v>
      </c>
      <c r="O811" t="s">
        <v>3950</v>
      </c>
      <c r="P811" t="b">
        <v>0</v>
      </c>
      <c r="Q811" t="b">
        <v>0</v>
      </c>
      <c r="R811" t="str">
        <f>"9781602355118"</f>
        <v>9781602355118</v>
      </c>
      <c r="S811" t="str">
        <f>"9781602355132"</f>
        <v>9781602355132</v>
      </c>
      <c r="T811">
        <v>904507057</v>
      </c>
    </row>
    <row r="812" spans="1:20" x14ac:dyDescent="0.25">
      <c r="A812">
        <v>1002599</v>
      </c>
      <c r="B812" t="s">
        <v>3951</v>
      </c>
      <c r="C812" t="s">
        <v>3952</v>
      </c>
      <c r="D812" t="s">
        <v>644</v>
      </c>
      <c r="E812" t="s">
        <v>3897</v>
      </c>
      <c r="F812">
        <v>2014</v>
      </c>
      <c r="G812" t="s">
        <v>3953</v>
      </c>
      <c r="H812" t="s">
        <v>3954</v>
      </c>
      <c r="I812" t="s">
        <v>3955</v>
      </c>
      <c r="J812" t="s">
        <v>26</v>
      </c>
      <c r="K812" t="s">
        <v>27</v>
      </c>
      <c r="L812" t="b">
        <v>1</v>
      </c>
      <c r="M812" t="s">
        <v>3956</v>
      </c>
      <c r="N812" t="str">
        <f>"418.0071"</f>
        <v>418.0071</v>
      </c>
      <c r="O812" t="s">
        <v>3906</v>
      </c>
      <c r="P812" t="b">
        <v>0</v>
      </c>
      <c r="Q812" t="b">
        <v>0</v>
      </c>
      <c r="R812" t="str">
        <f>"9781602355033"</f>
        <v>9781602355033</v>
      </c>
      <c r="S812" t="str">
        <f>"9781602355057"</f>
        <v>9781602355057</v>
      </c>
      <c r="T812">
        <v>879343507</v>
      </c>
    </row>
    <row r="813" spans="1:20" x14ac:dyDescent="0.25">
      <c r="A813">
        <v>1002598</v>
      </c>
      <c r="B813" t="s">
        <v>3957</v>
      </c>
      <c r="C813">
        <v>2012</v>
      </c>
      <c r="D813" t="s">
        <v>3958</v>
      </c>
      <c r="E813" t="s">
        <v>3958</v>
      </c>
      <c r="F813">
        <v>2014</v>
      </c>
      <c r="G813" t="s">
        <v>2771</v>
      </c>
      <c r="H813" t="s">
        <v>3959</v>
      </c>
      <c r="I813" t="s">
        <v>3941</v>
      </c>
      <c r="J813" t="s">
        <v>26</v>
      </c>
      <c r="K813" t="s">
        <v>27</v>
      </c>
      <c r="L813" t="b">
        <v>1</v>
      </c>
      <c r="M813" t="s">
        <v>3960</v>
      </c>
      <c r="N813" t="str">
        <f>"808"</f>
        <v>808</v>
      </c>
      <c r="O813" t="s">
        <v>3961</v>
      </c>
      <c r="P813" t="b">
        <v>0</v>
      </c>
      <c r="Q813" t="b">
        <v>0</v>
      </c>
      <c r="R813" t="str">
        <f>"9781602354951"</f>
        <v>9781602354951</v>
      </c>
      <c r="S813" t="str">
        <f>"9781602354968"</f>
        <v>9781602354968</v>
      </c>
      <c r="T813">
        <v>955182906</v>
      </c>
    </row>
    <row r="814" spans="1:20" x14ac:dyDescent="0.25">
      <c r="A814">
        <v>1002595</v>
      </c>
      <c r="B814" t="s">
        <v>3962</v>
      </c>
      <c r="C814" t="s">
        <v>3963</v>
      </c>
      <c r="D814" t="s">
        <v>644</v>
      </c>
      <c r="E814" t="s">
        <v>3897</v>
      </c>
      <c r="F814">
        <v>2013</v>
      </c>
      <c r="G814" t="s">
        <v>3964</v>
      </c>
      <c r="H814" t="s">
        <v>3965</v>
      </c>
      <c r="I814" t="s">
        <v>3966</v>
      </c>
      <c r="J814" t="s">
        <v>26</v>
      </c>
      <c r="K814" t="s">
        <v>27</v>
      </c>
      <c r="L814" t="b">
        <v>1</v>
      </c>
      <c r="M814" t="s">
        <v>3967</v>
      </c>
      <c r="N814" t="str">
        <f>"808"</f>
        <v>808</v>
      </c>
      <c r="O814" t="s">
        <v>3906</v>
      </c>
      <c r="P814" t="b">
        <v>0</v>
      </c>
      <c r="Q814" t="b">
        <v>0</v>
      </c>
      <c r="R814" t="str">
        <f>"9781602354777"</f>
        <v>9781602354777</v>
      </c>
      <c r="S814" t="str">
        <f>"9781602354791"</f>
        <v>9781602354791</v>
      </c>
      <c r="T814">
        <v>880864643</v>
      </c>
    </row>
    <row r="815" spans="1:20" x14ac:dyDescent="0.25">
      <c r="A815">
        <v>1002594</v>
      </c>
      <c r="B815" t="s">
        <v>3968</v>
      </c>
      <c r="C815" t="s">
        <v>3963</v>
      </c>
      <c r="D815" t="s">
        <v>644</v>
      </c>
      <c r="E815" t="s">
        <v>3897</v>
      </c>
      <c r="F815">
        <v>2013</v>
      </c>
      <c r="G815" t="s">
        <v>3964</v>
      </c>
      <c r="H815" t="s">
        <v>3969</v>
      </c>
      <c r="I815" t="s">
        <v>3966</v>
      </c>
      <c r="J815" t="s">
        <v>26</v>
      </c>
      <c r="K815" t="s">
        <v>27</v>
      </c>
      <c r="L815" t="b">
        <v>1</v>
      </c>
      <c r="M815" t="s">
        <v>3970</v>
      </c>
      <c r="N815" t="str">
        <f>"808"</f>
        <v>808</v>
      </c>
      <c r="O815" t="s">
        <v>3971</v>
      </c>
      <c r="P815" t="b">
        <v>0</v>
      </c>
      <c r="Q815" t="b">
        <v>0</v>
      </c>
      <c r="R815" t="str">
        <f>"9781602354739"</f>
        <v>9781602354739</v>
      </c>
      <c r="S815" t="str">
        <f>"9781602354753"</f>
        <v>9781602354753</v>
      </c>
      <c r="T815">
        <v>879459035</v>
      </c>
    </row>
    <row r="816" spans="1:20" x14ac:dyDescent="0.25">
      <c r="A816">
        <v>1002593</v>
      </c>
      <c r="B816" t="s">
        <v>3972</v>
      </c>
      <c r="C816" t="s">
        <v>3973</v>
      </c>
      <c r="D816" t="s">
        <v>644</v>
      </c>
      <c r="E816" t="s">
        <v>3897</v>
      </c>
      <c r="F816">
        <v>2013</v>
      </c>
      <c r="G816" t="s">
        <v>3974</v>
      </c>
      <c r="H816" t="s">
        <v>3975</v>
      </c>
      <c r="I816" t="s">
        <v>3976</v>
      </c>
      <c r="J816" t="s">
        <v>26</v>
      </c>
      <c r="K816" t="s">
        <v>27</v>
      </c>
      <c r="L816" t="b">
        <v>1</v>
      </c>
      <c r="M816" t="s">
        <v>3977</v>
      </c>
      <c r="N816" t="str">
        <f>"973.932092"</f>
        <v>973.932092</v>
      </c>
      <c r="P816" t="b">
        <v>0</v>
      </c>
      <c r="Q816" t="b">
        <v>0</v>
      </c>
      <c r="R816" t="str">
        <f>"9781602354678"</f>
        <v>9781602354678</v>
      </c>
      <c r="S816" t="str">
        <f>"9781602354692"</f>
        <v>9781602354692</v>
      </c>
      <c r="T816">
        <v>927116991</v>
      </c>
    </row>
    <row r="817" spans="1:20" x14ac:dyDescent="0.25">
      <c r="A817">
        <v>1002592</v>
      </c>
      <c r="B817" t="s">
        <v>3978</v>
      </c>
      <c r="D817" t="s">
        <v>644</v>
      </c>
      <c r="E817" t="s">
        <v>3897</v>
      </c>
      <c r="F817">
        <v>2013</v>
      </c>
      <c r="G817" t="s">
        <v>3979</v>
      </c>
      <c r="H817" t="s">
        <v>3980</v>
      </c>
      <c r="I817" t="s">
        <v>3981</v>
      </c>
      <c r="J817" t="s">
        <v>26</v>
      </c>
      <c r="K817" t="s">
        <v>27</v>
      </c>
      <c r="L817" t="b">
        <v>1</v>
      </c>
      <c r="M817" t="s">
        <v>3982</v>
      </c>
      <c r="N817" t="str">
        <f>"372.6"</f>
        <v>372.6</v>
      </c>
      <c r="O817" t="s">
        <v>3932</v>
      </c>
      <c r="P817" t="b">
        <v>0</v>
      </c>
      <c r="Q817" t="b">
        <v>0</v>
      </c>
      <c r="R817" t="str">
        <f>"9781602354593"</f>
        <v>9781602354593</v>
      </c>
      <c r="S817" t="str">
        <f>"9781602354616"</f>
        <v>9781602354616</v>
      </c>
      <c r="T817">
        <v>858557285</v>
      </c>
    </row>
    <row r="818" spans="1:20" x14ac:dyDescent="0.25">
      <c r="A818">
        <v>1002590</v>
      </c>
      <c r="B818" t="s">
        <v>3983</v>
      </c>
      <c r="C818" t="s">
        <v>3984</v>
      </c>
      <c r="D818" t="s">
        <v>644</v>
      </c>
      <c r="E818" t="s">
        <v>3897</v>
      </c>
      <c r="F818">
        <v>2013</v>
      </c>
      <c r="G818" t="s">
        <v>3985</v>
      </c>
      <c r="H818" t="s">
        <v>3986</v>
      </c>
      <c r="I818" t="s">
        <v>3987</v>
      </c>
      <c r="J818" t="s">
        <v>26</v>
      </c>
      <c r="K818" t="s">
        <v>27</v>
      </c>
      <c r="L818" t="b">
        <v>1</v>
      </c>
      <c r="M818" t="s">
        <v>3988</v>
      </c>
      <c r="N818" t="str">
        <f>"378.166"</f>
        <v>378.166</v>
      </c>
      <c r="O818" t="s">
        <v>3906</v>
      </c>
      <c r="P818" t="b">
        <v>0</v>
      </c>
      <c r="Q818" t="b">
        <v>0</v>
      </c>
      <c r="R818" t="str">
        <f>"9781602354418"</f>
        <v>9781602354418</v>
      </c>
      <c r="S818" t="str">
        <f>"9781602354432"</f>
        <v>9781602354432</v>
      </c>
      <c r="T818">
        <v>843207614</v>
      </c>
    </row>
    <row r="819" spans="1:20" x14ac:dyDescent="0.25">
      <c r="A819">
        <v>1002589</v>
      </c>
      <c r="B819" t="s">
        <v>3989</v>
      </c>
      <c r="D819" t="s">
        <v>644</v>
      </c>
      <c r="E819" t="s">
        <v>3897</v>
      </c>
      <c r="F819">
        <v>2013</v>
      </c>
      <c r="G819" t="s">
        <v>2771</v>
      </c>
      <c r="H819" t="s">
        <v>3990</v>
      </c>
      <c r="I819" t="s">
        <v>3991</v>
      </c>
      <c r="J819" t="s">
        <v>26</v>
      </c>
      <c r="K819" t="s">
        <v>27</v>
      </c>
      <c r="L819" t="b">
        <v>1</v>
      </c>
      <c r="M819" t="s">
        <v>3992</v>
      </c>
      <c r="N819" t="str">
        <f>"808/.042071173"</f>
        <v>808/.042071173</v>
      </c>
      <c r="O819" t="s">
        <v>3993</v>
      </c>
      <c r="P819" t="b">
        <v>0</v>
      </c>
      <c r="Q819" t="b">
        <v>0</v>
      </c>
      <c r="R819" t="str">
        <f>"9781602354333"</f>
        <v>9781602354333</v>
      </c>
      <c r="S819" t="str">
        <f>"9781602354357"</f>
        <v>9781602354357</v>
      </c>
      <c r="T819">
        <v>922922322</v>
      </c>
    </row>
    <row r="820" spans="1:20" x14ac:dyDescent="0.25">
      <c r="A820">
        <v>1002588</v>
      </c>
      <c r="B820" t="s">
        <v>3994</v>
      </c>
      <c r="D820" t="s">
        <v>644</v>
      </c>
      <c r="E820" t="s">
        <v>3897</v>
      </c>
      <c r="F820">
        <v>2015</v>
      </c>
      <c r="G820" t="s">
        <v>3995</v>
      </c>
      <c r="H820" t="s">
        <v>3996</v>
      </c>
      <c r="I820" t="s">
        <v>3997</v>
      </c>
      <c r="J820" t="s">
        <v>26</v>
      </c>
      <c r="K820" t="s">
        <v>27</v>
      </c>
      <c r="L820" t="b">
        <v>1</v>
      </c>
      <c r="M820" t="s">
        <v>3998</v>
      </c>
      <c r="N820" t="str">
        <f>"808/.0420711"</f>
        <v>808/.0420711</v>
      </c>
      <c r="O820" t="s">
        <v>3999</v>
      </c>
      <c r="P820" t="b">
        <v>1</v>
      </c>
      <c r="Q820" t="b">
        <v>0</v>
      </c>
      <c r="R820" t="str">
        <f>"9781602354296"</f>
        <v>9781602354296</v>
      </c>
      <c r="S820" t="str">
        <f>"9781602354319"</f>
        <v>9781602354319</v>
      </c>
      <c r="T820">
        <v>919087593</v>
      </c>
    </row>
    <row r="821" spans="1:20" x14ac:dyDescent="0.25">
      <c r="A821">
        <v>1002586</v>
      </c>
      <c r="B821" t="s">
        <v>4000</v>
      </c>
      <c r="D821" t="s">
        <v>644</v>
      </c>
      <c r="E821" t="s">
        <v>3897</v>
      </c>
      <c r="F821">
        <v>2013</v>
      </c>
      <c r="G821" t="s">
        <v>197</v>
      </c>
      <c r="H821" t="s">
        <v>4001</v>
      </c>
      <c r="I821" t="s">
        <v>4002</v>
      </c>
      <c r="J821" t="s">
        <v>26</v>
      </c>
      <c r="K821" t="s">
        <v>86</v>
      </c>
      <c r="L821" t="b">
        <v>1</v>
      </c>
      <c r="M821" t="s">
        <v>4003</v>
      </c>
      <c r="N821" t="str">
        <f>"808/.042/0711"</f>
        <v>808/.042/0711</v>
      </c>
      <c r="O821" t="s">
        <v>3906</v>
      </c>
      <c r="P821" t="b">
        <v>0</v>
      </c>
      <c r="Q821" t="b">
        <v>0</v>
      </c>
      <c r="R821" t="str">
        <f>"9781602354227"</f>
        <v>9781602354227</v>
      </c>
      <c r="S821" t="str">
        <f>"9781602354241"</f>
        <v>9781602354241</v>
      </c>
      <c r="T821">
        <v>829394160</v>
      </c>
    </row>
    <row r="822" spans="1:20" x14ac:dyDescent="0.25">
      <c r="A822">
        <v>1002585</v>
      </c>
      <c r="B822" t="s">
        <v>4004</v>
      </c>
      <c r="C822" t="s">
        <v>4005</v>
      </c>
      <c r="D822" t="s">
        <v>644</v>
      </c>
      <c r="E822" t="s">
        <v>3897</v>
      </c>
      <c r="F822">
        <v>2013</v>
      </c>
      <c r="G822" t="s">
        <v>1220</v>
      </c>
      <c r="H822" t="s">
        <v>4006</v>
      </c>
      <c r="I822" t="s">
        <v>4007</v>
      </c>
      <c r="J822" t="s">
        <v>26</v>
      </c>
      <c r="K822" t="s">
        <v>27</v>
      </c>
      <c r="L822" t="b">
        <v>1</v>
      </c>
      <c r="M822" t="s">
        <v>3960</v>
      </c>
      <c r="N822" t="str">
        <f>"808/.042071173"</f>
        <v>808/.042071173</v>
      </c>
      <c r="P822" t="b">
        <v>0</v>
      </c>
      <c r="Q822" t="b">
        <v>0</v>
      </c>
      <c r="R822" t="str">
        <f>"9781602354180"</f>
        <v>9781602354180</v>
      </c>
      <c r="S822" t="str">
        <f>"9781602354203"</f>
        <v>9781602354203</v>
      </c>
      <c r="T822">
        <v>927116892</v>
      </c>
    </row>
    <row r="823" spans="1:20" x14ac:dyDescent="0.25">
      <c r="A823">
        <v>1002584</v>
      </c>
      <c r="B823" t="s">
        <v>4009</v>
      </c>
      <c r="D823" t="s">
        <v>644</v>
      </c>
      <c r="E823" t="s">
        <v>3897</v>
      </c>
      <c r="F823">
        <v>2013</v>
      </c>
      <c r="G823" t="s">
        <v>4010</v>
      </c>
      <c r="H823" t="s">
        <v>4011</v>
      </c>
      <c r="I823" t="s">
        <v>4012</v>
      </c>
      <c r="J823" t="s">
        <v>26</v>
      </c>
      <c r="K823" t="s">
        <v>86</v>
      </c>
      <c r="L823" t="b">
        <v>1</v>
      </c>
      <c r="M823" t="s">
        <v>4013</v>
      </c>
      <c r="N823" t="str">
        <f>"808/.04207"</f>
        <v>808/.04207</v>
      </c>
      <c r="O823" t="s">
        <v>4014</v>
      </c>
      <c r="P823" t="b">
        <v>0</v>
      </c>
      <c r="Q823" t="b">
        <v>0</v>
      </c>
      <c r="R823" t="str">
        <f>"9781602354142"</f>
        <v>9781602354142</v>
      </c>
      <c r="S823" t="str">
        <f>"9781602354166"</f>
        <v>9781602354166</v>
      </c>
      <c r="T823">
        <v>922474883</v>
      </c>
    </row>
    <row r="824" spans="1:20" x14ac:dyDescent="0.25">
      <c r="A824">
        <v>1002583</v>
      </c>
      <c r="B824" t="s">
        <v>4015</v>
      </c>
      <c r="C824" t="s">
        <v>4016</v>
      </c>
      <c r="D824" t="s">
        <v>644</v>
      </c>
      <c r="E824" t="s">
        <v>3897</v>
      </c>
      <c r="F824">
        <v>2013</v>
      </c>
      <c r="G824" t="s">
        <v>3985</v>
      </c>
      <c r="H824" t="s">
        <v>4017</v>
      </c>
      <c r="I824" t="s">
        <v>4018</v>
      </c>
      <c r="J824" t="s">
        <v>26</v>
      </c>
      <c r="K824" t="s">
        <v>27</v>
      </c>
      <c r="L824" t="b">
        <v>1</v>
      </c>
      <c r="M824" t="s">
        <v>4019</v>
      </c>
      <c r="N824" t="str">
        <f>"004.16"</f>
        <v>004.16</v>
      </c>
      <c r="O824" t="s">
        <v>3999</v>
      </c>
      <c r="P824" t="b">
        <v>0</v>
      </c>
      <c r="Q824" t="b">
        <v>0</v>
      </c>
      <c r="R824" t="str">
        <f>"9781602354005"</f>
        <v>9781602354005</v>
      </c>
      <c r="S824" t="str">
        <f>"9781602354029"</f>
        <v>9781602354029</v>
      </c>
      <c r="T824">
        <v>961656623</v>
      </c>
    </row>
    <row r="825" spans="1:20" x14ac:dyDescent="0.25">
      <c r="A825">
        <v>1002582</v>
      </c>
      <c r="B825" t="s">
        <v>4020</v>
      </c>
      <c r="D825" t="s">
        <v>644</v>
      </c>
      <c r="E825" t="s">
        <v>3897</v>
      </c>
      <c r="F825">
        <v>2013</v>
      </c>
      <c r="G825" t="s">
        <v>3953</v>
      </c>
      <c r="H825" t="s">
        <v>4021</v>
      </c>
      <c r="I825" t="s">
        <v>4022</v>
      </c>
      <c r="J825" t="s">
        <v>26</v>
      </c>
      <c r="K825" t="s">
        <v>27</v>
      </c>
      <c r="L825" t="b">
        <v>1</v>
      </c>
      <c r="M825" t="s">
        <v>4023</v>
      </c>
      <c r="N825" t="str">
        <f>"808.06/65"</f>
        <v>808.06/65</v>
      </c>
      <c r="O825" t="s">
        <v>4024</v>
      </c>
      <c r="P825" t="b">
        <v>0</v>
      </c>
      <c r="Q825" t="b">
        <v>0</v>
      </c>
      <c r="R825" t="str">
        <f>"9781602353794"</f>
        <v>9781602353794</v>
      </c>
      <c r="S825" t="str">
        <f>"9781602353817"</f>
        <v>9781602353817</v>
      </c>
      <c r="T825">
        <v>913556760</v>
      </c>
    </row>
    <row r="826" spans="1:20" x14ac:dyDescent="0.25">
      <c r="A826">
        <v>1002578</v>
      </c>
      <c r="B826" t="s">
        <v>4025</v>
      </c>
      <c r="D826" t="s">
        <v>644</v>
      </c>
      <c r="E826" t="s">
        <v>3897</v>
      </c>
      <c r="F826">
        <v>2013</v>
      </c>
      <c r="G826" t="s">
        <v>2460</v>
      </c>
      <c r="H826" t="s">
        <v>4026</v>
      </c>
      <c r="I826" t="s">
        <v>4027</v>
      </c>
      <c r="J826" t="s">
        <v>26</v>
      </c>
      <c r="K826" t="s">
        <v>27</v>
      </c>
      <c r="L826" t="b">
        <v>1</v>
      </c>
      <c r="M826" t="s">
        <v>4028</v>
      </c>
      <c r="N826" t="str">
        <f>"808"</f>
        <v>808</v>
      </c>
      <c r="O826" t="s">
        <v>4029</v>
      </c>
      <c r="P826" t="b">
        <v>0</v>
      </c>
      <c r="Q826" t="b">
        <v>0</v>
      </c>
      <c r="R826" t="str">
        <f>"9781602353633"</f>
        <v>9781602353633</v>
      </c>
      <c r="S826" t="str">
        <f>"9781602353657"</f>
        <v>9781602353657</v>
      </c>
      <c r="T826">
        <v>916492988</v>
      </c>
    </row>
    <row r="827" spans="1:20" x14ac:dyDescent="0.25">
      <c r="A827">
        <v>1002577</v>
      </c>
      <c r="B827" t="s">
        <v>4030</v>
      </c>
      <c r="D827" t="s">
        <v>644</v>
      </c>
      <c r="E827" t="s">
        <v>3897</v>
      </c>
      <c r="F827">
        <v>2013</v>
      </c>
      <c r="G827" t="s">
        <v>2771</v>
      </c>
      <c r="H827" t="s">
        <v>4031</v>
      </c>
      <c r="I827" t="s">
        <v>4032</v>
      </c>
      <c r="J827" t="s">
        <v>26</v>
      </c>
      <c r="K827" t="s">
        <v>27</v>
      </c>
      <c r="L827" t="b">
        <v>1</v>
      </c>
      <c r="M827" t="s">
        <v>4033</v>
      </c>
      <c r="N827" t="str">
        <f>"808/.042071173"</f>
        <v>808/.042071173</v>
      </c>
      <c r="O827" t="s">
        <v>3993</v>
      </c>
      <c r="P827" t="b">
        <v>0</v>
      </c>
      <c r="Q827" t="b">
        <v>0</v>
      </c>
      <c r="R827" t="str">
        <f>"9781602353596"</f>
        <v>9781602353596</v>
      </c>
      <c r="S827" t="str">
        <f>"9781602353619"</f>
        <v>9781602353619</v>
      </c>
      <c r="T827">
        <v>919087607</v>
      </c>
    </row>
    <row r="828" spans="1:20" x14ac:dyDescent="0.25">
      <c r="A828">
        <v>1002575</v>
      </c>
      <c r="B828" t="s">
        <v>4034</v>
      </c>
      <c r="C828" t="s">
        <v>4035</v>
      </c>
      <c r="D828" t="s">
        <v>644</v>
      </c>
      <c r="E828" t="s">
        <v>3897</v>
      </c>
      <c r="F828">
        <v>2012</v>
      </c>
      <c r="G828" t="s">
        <v>4036</v>
      </c>
      <c r="H828" t="s">
        <v>4037</v>
      </c>
      <c r="I828" t="s">
        <v>4038</v>
      </c>
      <c r="J828" t="s">
        <v>26</v>
      </c>
      <c r="K828" t="s">
        <v>27</v>
      </c>
      <c r="L828" t="b">
        <v>1</v>
      </c>
      <c r="M828" t="s">
        <v>4039</v>
      </c>
      <c r="N828" t="str">
        <f>"808.007"</f>
        <v>808.007</v>
      </c>
      <c r="O828" t="s">
        <v>3906</v>
      </c>
      <c r="P828" t="b">
        <v>0</v>
      </c>
      <c r="Q828" t="b">
        <v>0</v>
      </c>
      <c r="R828" t="str">
        <f>"9781602353527"</f>
        <v>9781602353527</v>
      </c>
      <c r="S828" t="str">
        <f>"9781602353541"</f>
        <v>9781602353541</v>
      </c>
      <c r="T828">
        <v>809552188</v>
      </c>
    </row>
    <row r="829" spans="1:20" x14ac:dyDescent="0.25">
      <c r="A829">
        <v>1002574</v>
      </c>
      <c r="B829" t="s">
        <v>4040</v>
      </c>
      <c r="D829" t="s">
        <v>644</v>
      </c>
      <c r="E829" t="s">
        <v>3897</v>
      </c>
      <c r="F829">
        <v>2012</v>
      </c>
      <c r="G829" t="s">
        <v>4041</v>
      </c>
      <c r="H829" t="s">
        <v>4042</v>
      </c>
      <c r="I829" t="s">
        <v>4043</v>
      </c>
      <c r="J829" t="s">
        <v>26</v>
      </c>
      <c r="K829" t="s">
        <v>86</v>
      </c>
      <c r="L829" t="b">
        <v>1</v>
      </c>
      <c r="M829" t="s">
        <v>4044</v>
      </c>
      <c r="N829" t="str">
        <f>"808.02/5"</f>
        <v>808.02/5</v>
      </c>
      <c r="O829" t="s">
        <v>4014</v>
      </c>
      <c r="P829" t="b">
        <v>0</v>
      </c>
      <c r="Q829" t="b">
        <v>0</v>
      </c>
      <c r="R829" t="str">
        <f>"9781602353480"</f>
        <v>9781602353480</v>
      </c>
      <c r="S829" t="str">
        <f>"9781602353503"</f>
        <v>9781602353503</v>
      </c>
      <c r="T829">
        <v>922925676</v>
      </c>
    </row>
    <row r="830" spans="1:20" x14ac:dyDescent="0.25">
      <c r="A830">
        <v>1002573</v>
      </c>
      <c r="B830" t="s">
        <v>4045</v>
      </c>
      <c r="D830" t="s">
        <v>644</v>
      </c>
      <c r="E830" t="s">
        <v>3897</v>
      </c>
      <c r="F830">
        <v>2013</v>
      </c>
      <c r="G830" t="s">
        <v>2771</v>
      </c>
      <c r="H830" t="s">
        <v>4046</v>
      </c>
      <c r="I830" t="s">
        <v>3941</v>
      </c>
      <c r="J830" t="s">
        <v>26</v>
      </c>
      <c r="K830" t="s">
        <v>27</v>
      </c>
      <c r="L830" t="b">
        <v>1</v>
      </c>
      <c r="M830" t="s">
        <v>4047</v>
      </c>
      <c r="N830" t="str">
        <f>"808.04207"</f>
        <v>808.04207</v>
      </c>
      <c r="O830" t="s">
        <v>4048</v>
      </c>
      <c r="P830" t="b">
        <v>0</v>
      </c>
      <c r="Q830" t="b">
        <v>0</v>
      </c>
      <c r="R830" t="str">
        <f>"9781602353121"</f>
        <v>9781602353121</v>
      </c>
      <c r="S830" t="str">
        <f>"9781602353138"</f>
        <v>9781602353138</v>
      </c>
      <c r="T830">
        <v>922475040</v>
      </c>
    </row>
    <row r="831" spans="1:20" x14ac:dyDescent="0.25">
      <c r="A831">
        <v>1002572</v>
      </c>
      <c r="B831" t="s">
        <v>4049</v>
      </c>
      <c r="D831" t="s">
        <v>644</v>
      </c>
      <c r="E831" t="s">
        <v>3897</v>
      </c>
      <c r="F831">
        <v>2013</v>
      </c>
      <c r="G831" t="s">
        <v>1001</v>
      </c>
      <c r="H831" t="s">
        <v>4050</v>
      </c>
      <c r="I831" t="s">
        <v>4051</v>
      </c>
      <c r="J831" t="s">
        <v>26</v>
      </c>
      <c r="K831" t="s">
        <v>27</v>
      </c>
      <c r="L831" t="b">
        <v>1</v>
      </c>
      <c r="M831" t="s">
        <v>4052</v>
      </c>
      <c r="N831" t="str">
        <f>"808/.042071173"</f>
        <v>808/.042071173</v>
      </c>
      <c r="O831" t="s">
        <v>3943</v>
      </c>
      <c r="P831" t="b">
        <v>0</v>
      </c>
      <c r="Q831" t="b">
        <v>0</v>
      </c>
      <c r="R831" t="str">
        <f>"9781602352926"</f>
        <v>9781602352926</v>
      </c>
      <c r="S831" t="str">
        <f>"9781602352940"</f>
        <v>9781602352940</v>
      </c>
      <c r="T831">
        <v>922475039</v>
      </c>
    </row>
    <row r="832" spans="1:20" x14ac:dyDescent="0.25">
      <c r="A832">
        <v>995743</v>
      </c>
      <c r="B832" t="s">
        <v>4053</v>
      </c>
      <c r="C832" t="s">
        <v>4054</v>
      </c>
      <c r="D832" t="s">
        <v>123</v>
      </c>
      <c r="E832" t="s">
        <v>219</v>
      </c>
      <c r="F832">
        <v>2015</v>
      </c>
      <c r="G832" t="s">
        <v>2937</v>
      </c>
      <c r="H832" t="s">
        <v>4055</v>
      </c>
      <c r="I832" t="s">
        <v>4056</v>
      </c>
      <c r="J832" t="s">
        <v>26</v>
      </c>
      <c r="K832" t="s">
        <v>48</v>
      </c>
      <c r="L832" t="b">
        <v>1</v>
      </c>
      <c r="M832" t="s">
        <v>4057</v>
      </c>
      <c r="N832" t="str">
        <f>"294.3/927"</f>
        <v>294.3/927</v>
      </c>
      <c r="P832" t="b">
        <v>0</v>
      </c>
      <c r="Q832" t="b">
        <v>0</v>
      </c>
      <c r="R832" t="str">
        <f>"9781614292500"</f>
        <v>9781614292500</v>
      </c>
      <c r="S832" t="str">
        <f>"9781614292654"</f>
        <v>9781614292654</v>
      </c>
      <c r="T832">
        <v>910103044</v>
      </c>
    </row>
    <row r="833" spans="1:20" x14ac:dyDescent="0.25">
      <c r="A833">
        <v>993040</v>
      </c>
      <c r="B833" t="s">
        <v>4058</v>
      </c>
      <c r="C833" t="s">
        <v>4059</v>
      </c>
      <c r="D833" t="s">
        <v>211</v>
      </c>
      <c r="E833" t="s">
        <v>212</v>
      </c>
      <c r="F833">
        <v>2014</v>
      </c>
      <c r="G833" t="s">
        <v>4060</v>
      </c>
      <c r="H833" t="s">
        <v>4061</v>
      </c>
      <c r="I833" t="s">
        <v>4062</v>
      </c>
      <c r="J833" t="s">
        <v>26</v>
      </c>
      <c r="K833" t="s">
        <v>27</v>
      </c>
      <c r="L833" t="b">
        <v>1</v>
      </c>
      <c r="M833" t="s">
        <v>4063</v>
      </c>
      <c r="N833" t="str">
        <f>"320.60"</f>
        <v>320.60</v>
      </c>
      <c r="P833" t="b">
        <v>0</v>
      </c>
      <c r="Q833" t="b">
        <v>0</v>
      </c>
      <c r="T833">
        <v>909368158</v>
      </c>
    </row>
    <row r="834" spans="1:20" x14ac:dyDescent="0.25">
      <c r="A834">
        <v>992069</v>
      </c>
      <c r="B834" t="s">
        <v>4064</v>
      </c>
      <c r="C834" t="s">
        <v>4065</v>
      </c>
      <c r="D834" t="s">
        <v>123</v>
      </c>
      <c r="E834" t="s">
        <v>219</v>
      </c>
      <c r="F834">
        <v>2015</v>
      </c>
      <c r="G834" t="s">
        <v>2937</v>
      </c>
      <c r="H834" t="s">
        <v>4066</v>
      </c>
      <c r="I834" t="s">
        <v>4067</v>
      </c>
      <c r="J834" t="s">
        <v>26</v>
      </c>
      <c r="K834" t="s">
        <v>48</v>
      </c>
      <c r="L834" t="b">
        <v>1</v>
      </c>
      <c r="M834" t="s">
        <v>4068</v>
      </c>
      <c r="N834" t="str">
        <f>"294.3/927"</f>
        <v>294.3/927</v>
      </c>
      <c r="P834" t="b">
        <v>0</v>
      </c>
      <c r="Q834" t="b">
        <v>0</v>
      </c>
      <c r="R834" t="str">
        <f>"9781614292531"</f>
        <v>9781614292531</v>
      </c>
      <c r="S834" t="str">
        <f>"9781614292685"</f>
        <v>9781614292685</v>
      </c>
      <c r="T834">
        <v>908932575</v>
      </c>
    </row>
    <row r="835" spans="1:20" x14ac:dyDescent="0.25">
      <c r="A835">
        <v>989086</v>
      </c>
      <c r="B835" t="s">
        <v>4069</v>
      </c>
      <c r="D835" t="s">
        <v>22</v>
      </c>
      <c r="E835" t="s">
        <v>22</v>
      </c>
      <c r="F835">
        <v>2015</v>
      </c>
      <c r="G835" t="s">
        <v>57</v>
      </c>
      <c r="H835" t="s">
        <v>4070</v>
      </c>
      <c r="J835" t="s">
        <v>26</v>
      </c>
      <c r="K835" t="s">
        <v>27</v>
      </c>
      <c r="L835" t="b">
        <v>1</v>
      </c>
      <c r="M835" t="s">
        <v>4071</v>
      </c>
      <c r="N835" t="str">
        <f>"304.843056108991597"</f>
        <v>304.843056108991597</v>
      </c>
      <c r="O835" t="s">
        <v>4072</v>
      </c>
      <c r="P835" t="b">
        <v>0</v>
      </c>
      <c r="Q835" t="b">
        <v>0</v>
      </c>
      <c r="R835" t="str">
        <f>"9789089648419"</f>
        <v>9789089648419</v>
      </c>
      <c r="S835" t="str">
        <f>"9789048526956"</f>
        <v>9789048526956</v>
      </c>
      <c r="T835">
        <v>912318676</v>
      </c>
    </row>
    <row r="836" spans="1:20" x14ac:dyDescent="0.25">
      <c r="A836">
        <v>989085</v>
      </c>
      <c r="B836" t="s">
        <v>4073</v>
      </c>
      <c r="D836" t="s">
        <v>22</v>
      </c>
      <c r="E836" t="s">
        <v>22</v>
      </c>
      <c r="F836">
        <v>2015</v>
      </c>
      <c r="G836" t="s">
        <v>57</v>
      </c>
      <c r="H836" t="s">
        <v>4074</v>
      </c>
      <c r="I836" t="s">
        <v>4075</v>
      </c>
      <c r="J836" t="s">
        <v>26</v>
      </c>
      <c r="K836" t="s">
        <v>27</v>
      </c>
      <c r="L836" t="b">
        <v>1</v>
      </c>
      <c r="M836" t="s">
        <v>4076</v>
      </c>
      <c r="N836" t="str">
        <f>"304.6"</f>
        <v>304.6</v>
      </c>
      <c r="O836" t="s">
        <v>29</v>
      </c>
      <c r="P836" t="b">
        <v>0</v>
      </c>
      <c r="Q836" t="b">
        <v>0</v>
      </c>
      <c r="R836" t="str">
        <f>"9789089647160"</f>
        <v>9789089647160</v>
      </c>
      <c r="S836" t="str">
        <f>"9789048524457"</f>
        <v>9789048524457</v>
      </c>
      <c r="T836">
        <v>911196034</v>
      </c>
    </row>
    <row r="837" spans="1:20" x14ac:dyDescent="0.25">
      <c r="A837">
        <v>988026</v>
      </c>
      <c r="B837" t="s">
        <v>4077</v>
      </c>
      <c r="C837" t="s">
        <v>4078</v>
      </c>
      <c r="D837" t="s">
        <v>1364</v>
      </c>
      <c r="E837" t="s">
        <v>2275</v>
      </c>
      <c r="F837">
        <v>2015</v>
      </c>
      <c r="G837" t="s">
        <v>100</v>
      </c>
      <c r="H837" t="s">
        <v>4079</v>
      </c>
      <c r="I837" t="s">
        <v>4080</v>
      </c>
      <c r="J837" t="s">
        <v>26</v>
      </c>
      <c r="K837" t="s">
        <v>48</v>
      </c>
      <c r="L837" t="b">
        <v>1</v>
      </c>
      <c r="M837" t="s">
        <v>4081</v>
      </c>
      <c r="N837" t="str">
        <f>"302.2"</f>
        <v>302.2</v>
      </c>
      <c r="O837" t="s">
        <v>4082</v>
      </c>
      <c r="P837" t="b">
        <v>0</v>
      </c>
      <c r="R837" t="str">
        <f>"9781501510526"</f>
        <v>9781501510526</v>
      </c>
      <c r="S837" t="str">
        <f>"9781501501586"</f>
        <v>9781501501586</v>
      </c>
      <c r="T837">
        <v>908511968</v>
      </c>
    </row>
    <row r="838" spans="1:20" x14ac:dyDescent="0.25">
      <c r="A838">
        <v>987992</v>
      </c>
      <c r="B838" t="s">
        <v>4083</v>
      </c>
      <c r="C838" t="s">
        <v>4084</v>
      </c>
      <c r="D838" t="s">
        <v>1364</v>
      </c>
      <c r="E838" t="s">
        <v>2275</v>
      </c>
      <c r="F838">
        <v>2015</v>
      </c>
      <c r="G838" t="s">
        <v>100</v>
      </c>
      <c r="H838" t="s">
        <v>4085</v>
      </c>
      <c r="I838" t="s">
        <v>4086</v>
      </c>
      <c r="J838" t="s">
        <v>26</v>
      </c>
      <c r="K838" t="s">
        <v>48</v>
      </c>
      <c r="L838" t="b">
        <v>1</v>
      </c>
      <c r="M838" t="s">
        <v>4087</v>
      </c>
      <c r="N838" t="str">
        <f>"400"</f>
        <v>400</v>
      </c>
      <c r="O838" t="s">
        <v>4088</v>
      </c>
      <c r="P838" t="b">
        <v>0</v>
      </c>
      <c r="R838" t="str">
        <f>"9781614511960"</f>
        <v>9781614511960</v>
      </c>
      <c r="S838" t="str">
        <f>"9781501501081"</f>
        <v>9781501501081</v>
      </c>
      <c r="T838">
        <v>909908032</v>
      </c>
    </row>
    <row r="839" spans="1:20" x14ac:dyDescent="0.25">
      <c r="A839">
        <v>986798</v>
      </c>
      <c r="B839" t="s">
        <v>4089</v>
      </c>
      <c r="D839" t="s">
        <v>4090</v>
      </c>
      <c r="E839" t="s">
        <v>4091</v>
      </c>
      <c r="F839">
        <v>2013</v>
      </c>
      <c r="G839" t="s">
        <v>4092</v>
      </c>
      <c r="H839" t="s">
        <v>4093</v>
      </c>
      <c r="I839" t="s">
        <v>4094</v>
      </c>
      <c r="J839" t="s">
        <v>26</v>
      </c>
      <c r="K839" t="s">
        <v>86</v>
      </c>
      <c r="L839" t="b">
        <v>1</v>
      </c>
      <c r="M839" t="s">
        <v>4095</v>
      </c>
      <c r="N839" t="str">
        <f>"361"</f>
        <v>361</v>
      </c>
      <c r="P839" t="b">
        <v>0</v>
      </c>
      <c r="R839" t="str">
        <f>"9781412987851"</f>
        <v>9781412987851</v>
      </c>
      <c r="S839" t="str">
        <f>"9781452261683"</f>
        <v>9781452261683</v>
      </c>
      <c r="T839">
        <v>809851672</v>
      </c>
    </row>
    <row r="840" spans="1:20" x14ac:dyDescent="0.25">
      <c r="A840">
        <v>983910</v>
      </c>
      <c r="B840" t="s">
        <v>4096</v>
      </c>
      <c r="C840" t="s">
        <v>4097</v>
      </c>
      <c r="D840" t="s">
        <v>131</v>
      </c>
      <c r="E840" t="s">
        <v>295</v>
      </c>
      <c r="F840">
        <v>2015</v>
      </c>
      <c r="G840" t="s">
        <v>4098</v>
      </c>
      <c r="H840" t="s">
        <v>4099</v>
      </c>
      <c r="I840" t="s">
        <v>4100</v>
      </c>
      <c r="J840" t="s">
        <v>26</v>
      </c>
      <c r="K840" t="s">
        <v>86</v>
      </c>
      <c r="L840" t="b">
        <v>1</v>
      </c>
      <c r="M840" t="s">
        <v>4101</v>
      </c>
      <c r="N840" t="str">
        <f>"976.4/351"</f>
        <v>976.4/351</v>
      </c>
      <c r="P840" t="b">
        <v>0</v>
      </c>
      <c r="Q840" t="b">
        <v>0</v>
      </c>
      <c r="R840" t="str">
        <f>"9781595342645"</f>
        <v>9781595342645</v>
      </c>
      <c r="S840" t="str">
        <f>"9781595342652"</f>
        <v>9781595342652</v>
      </c>
      <c r="T840">
        <v>1005664046</v>
      </c>
    </row>
    <row r="841" spans="1:20" x14ac:dyDescent="0.25">
      <c r="A841">
        <v>983909</v>
      </c>
      <c r="B841" t="s">
        <v>4102</v>
      </c>
      <c r="C841" t="s">
        <v>4103</v>
      </c>
      <c r="D841" t="s">
        <v>131</v>
      </c>
      <c r="E841" t="s">
        <v>276</v>
      </c>
      <c r="F841">
        <v>2015</v>
      </c>
      <c r="G841" t="s">
        <v>2556</v>
      </c>
      <c r="H841" t="s">
        <v>4104</v>
      </c>
      <c r="I841" t="s">
        <v>4105</v>
      </c>
      <c r="J841" t="s">
        <v>26</v>
      </c>
      <c r="K841" t="s">
        <v>86</v>
      </c>
      <c r="L841" t="b">
        <v>1</v>
      </c>
      <c r="M841" t="s">
        <v>4106</v>
      </c>
      <c r="N841" t="str">
        <f>"781.62/96393"</f>
        <v>781.62/96393</v>
      </c>
      <c r="P841" t="b">
        <v>0</v>
      </c>
      <c r="Q841" t="b">
        <v>0</v>
      </c>
      <c r="R841" t="str">
        <f>"9781595347480"</f>
        <v>9781595347480</v>
      </c>
      <c r="S841" t="str">
        <f>"9781595347497"</f>
        <v>9781595347497</v>
      </c>
      <c r="T841">
        <v>915158212</v>
      </c>
    </row>
    <row r="842" spans="1:20" x14ac:dyDescent="0.25">
      <c r="A842">
        <v>983426</v>
      </c>
      <c r="B842" t="s">
        <v>4107</v>
      </c>
      <c r="C842" t="s">
        <v>2054</v>
      </c>
      <c r="D842" t="s">
        <v>131</v>
      </c>
      <c r="E842" t="s">
        <v>552</v>
      </c>
      <c r="F842">
        <v>2015</v>
      </c>
      <c r="G842" t="s">
        <v>4108</v>
      </c>
      <c r="H842" t="s">
        <v>4109</v>
      </c>
      <c r="I842" t="s">
        <v>4110</v>
      </c>
      <c r="J842" t="s">
        <v>26</v>
      </c>
      <c r="K842" t="s">
        <v>48</v>
      </c>
      <c r="L842" t="b">
        <v>1</v>
      </c>
      <c r="M842" t="s">
        <v>4111</v>
      </c>
      <c r="N842" t="str">
        <f>"301"</f>
        <v>301</v>
      </c>
      <c r="O842" t="s">
        <v>568</v>
      </c>
      <c r="P842" t="b">
        <v>0</v>
      </c>
      <c r="Q842" t="b">
        <v>0</v>
      </c>
      <c r="R842" t="str">
        <f>"9781780745039"</f>
        <v>9781780745039</v>
      </c>
      <c r="S842" t="str">
        <f>"9781780745046"</f>
        <v>9781780745046</v>
      </c>
      <c r="T842">
        <v>905560696</v>
      </c>
    </row>
    <row r="843" spans="1:20" x14ac:dyDescent="0.25">
      <c r="A843">
        <v>983322</v>
      </c>
      <c r="B843" t="s">
        <v>4112</v>
      </c>
      <c r="C843" t="s">
        <v>4113</v>
      </c>
      <c r="D843" t="s">
        <v>131</v>
      </c>
      <c r="E843" t="s">
        <v>552</v>
      </c>
      <c r="F843">
        <v>2015</v>
      </c>
      <c r="G843" t="s">
        <v>4114</v>
      </c>
      <c r="H843" t="s">
        <v>4115</v>
      </c>
      <c r="I843" t="s">
        <v>4116</v>
      </c>
      <c r="J843" t="s">
        <v>26</v>
      </c>
      <c r="K843" t="s">
        <v>48</v>
      </c>
      <c r="L843" t="b">
        <v>1</v>
      </c>
      <c r="M843" t="s">
        <v>4117</v>
      </c>
      <c r="N843" t="str">
        <f>"305.5690941"</f>
        <v>305.5690941</v>
      </c>
      <c r="P843" t="b">
        <v>0</v>
      </c>
      <c r="Q843" t="b">
        <v>0</v>
      </c>
      <c r="R843" t="str">
        <f>"9781780745442"</f>
        <v>9781780745442</v>
      </c>
      <c r="S843" t="str">
        <f>"9781780745459"</f>
        <v>9781780745459</v>
      </c>
      <c r="T843">
        <v>898155568</v>
      </c>
    </row>
    <row r="844" spans="1:20" x14ac:dyDescent="0.25">
      <c r="A844">
        <v>982987</v>
      </c>
      <c r="B844" t="s">
        <v>4118</v>
      </c>
      <c r="C844" t="s">
        <v>4119</v>
      </c>
      <c r="D844" t="s">
        <v>131</v>
      </c>
      <c r="E844" t="s">
        <v>4120</v>
      </c>
      <c r="F844">
        <v>2015</v>
      </c>
      <c r="G844" t="s">
        <v>695</v>
      </c>
      <c r="H844" t="s">
        <v>4121</v>
      </c>
      <c r="I844" t="s">
        <v>4122</v>
      </c>
      <c r="J844" t="s">
        <v>26</v>
      </c>
      <c r="K844" t="s">
        <v>48</v>
      </c>
      <c r="L844" t="b">
        <v>1</v>
      </c>
      <c r="M844" t="s">
        <v>4123</v>
      </c>
      <c r="N844" t="str">
        <f>"781.49092"</f>
        <v>781.49092</v>
      </c>
      <c r="P844" t="b">
        <v>0</v>
      </c>
      <c r="Q844" t="b">
        <v>0</v>
      </c>
      <c r="R844" t="str">
        <f>"9781941437520"</f>
        <v>9781941437520</v>
      </c>
      <c r="S844" t="str">
        <f>"9781941437537"</f>
        <v>9781941437537</v>
      </c>
      <c r="T844">
        <v>913498955</v>
      </c>
    </row>
    <row r="845" spans="1:20" x14ac:dyDescent="0.25">
      <c r="A845">
        <v>982959</v>
      </c>
      <c r="B845" t="s">
        <v>4124</v>
      </c>
      <c r="C845" t="s">
        <v>4125</v>
      </c>
      <c r="D845" t="s">
        <v>131</v>
      </c>
      <c r="E845" t="s">
        <v>1737</v>
      </c>
      <c r="F845">
        <v>2015</v>
      </c>
      <c r="G845" t="s">
        <v>4126</v>
      </c>
      <c r="H845" t="s">
        <v>4127</v>
      </c>
      <c r="I845" t="s">
        <v>4128</v>
      </c>
      <c r="J845" t="s">
        <v>26</v>
      </c>
      <c r="K845" t="s">
        <v>86</v>
      </c>
      <c r="L845" t="b">
        <v>1</v>
      </c>
      <c r="M845" t="s">
        <v>4129</v>
      </c>
      <c r="N845" t="str">
        <f>"508.711"</f>
        <v>508.711</v>
      </c>
      <c r="P845" t="b">
        <v>0</v>
      </c>
      <c r="Q845" t="b">
        <v>0</v>
      </c>
      <c r="R845" t="str">
        <f>"9781771640732"</f>
        <v>9781771640732</v>
      </c>
      <c r="S845" t="str">
        <f>"9781771640749"</f>
        <v>9781771640749</v>
      </c>
      <c r="T845">
        <v>903534215</v>
      </c>
    </row>
    <row r="846" spans="1:20" x14ac:dyDescent="0.25">
      <c r="A846">
        <v>982958</v>
      </c>
      <c r="B846" t="s">
        <v>4130</v>
      </c>
      <c r="C846" t="s">
        <v>4131</v>
      </c>
      <c r="D846" t="s">
        <v>131</v>
      </c>
      <c r="E846" t="s">
        <v>1737</v>
      </c>
      <c r="F846">
        <v>2015</v>
      </c>
      <c r="G846" t="s">
        <v>4132</v>
      </c>
      <c r="H846" t="s">
        <v>4133</v>
      </c>
      <c r="I846" t="s">
        <v>4134</v>
      </c>
      <c r="J846" t="s">
        <v>26</v>
      </c>
      <c r="K846" t="s">
        <v>86</v>
      </c>
      <c r="L846" t="b">
        <v>1</v>
      </c>
      <c r="M846" t="s">
        <v>4135</v>
      </c>
      <c r="N846" t="str">
        <f>"577.34"</f>
        <v>577.34</v>
      </c>
      <c r="P846" t="b">
        <v>0</v>
      </c>
      <c r="Q846" t="b">
        <v>0</v>
      </c>
      <c r="R846" t="str">
        <f>"9781771641401"</f>
        <v>9781771641401</v>
      </c>
      <c r="S846" t="str">
        <f>"9781771641418"</f>
        <v>9781771641418</v>
      </c>
      <c r="T846">
        <v>907565834</v>
      </c>
    </row>
    <row r="847" spans="1:20" x14ac:dyDescent="0.25">
      <c r="A847">
        <v>981583</v>
      </c>
      <c r="B847" t="s">
        <v>4136</v>
      </c>
      <c r="C847" t="s">
        <v>4137</v>
      </c>
      <c r="D847" t="s">
        <v>1151</v>
      </c>
      <c r="E847" t="s">
        <v>4138</v>
      </c>
      <c r="F847">
        <v>2014</v>
      </c>
      <c r="G847" t="s">
        <v>4139</v>
      </c>
      <c r="H847" t="s">
        <v>4140</v>
      </c>
      <c r="I847" t="s">
        <v>560</v>
      </c>
      <c r="J847" t="s">
        <v>26</v>
      </c>
      <c r="K847" t="s">
        <v>86</v>
      </c>
      <c r="L847" t="b">
        <v>1</v>
      </c>
      <c r="M847" t="s">
        <v>4141</v>
      </c>
      <c r="N847" t="str">
        <f>"700"</f>
        <v>700</v>
      </c>
      <c r="P847" t="b">
        <v>0</v>
      </c>
      <c r="Q847" t="b">
        <v>0</v>
      </c>
      <c r="R847" t="str">
        <f>"9781621069218"</f>
        <v>9781621069218</v>
      </c>
      <c r="S847" t="str">
        <f>"9781621067238"</f>
        <v>9781621067238</v>
      </c>
      <c r="T847">
        <v>946735043</v>
      </c>
    </row>
    <row r="848" spans="1:20" x14ac:dyDescent="0.25">
      <c r="A848">
        <v>979985</v>
      </c>
      <c r="B848" t="s">
        <v>4142</v>
      </c>
      <c r="D848" t="s">
        <v>2238</v>
      </c>
      <c r="E848" t="s">
        <v>2239</v>
      </c>
      <c r="F848">
        <v>2005</v>
      </c>
      <c r="G848" t="s">
        <v>72</v>
      </c>
      <c r="H848" t="s">
        <v>4143</v>
      </c>
      <c r="J848" t="s">
        <v>26</v>
      </c>
      <c r="K848" t="s">
        <v>86</v>
      </c>
      <c r="L848" t="b">
        <v>1</v>
      </c>
      <c r="M848" t="s">
        <v>4144</v>
      </c>
      <c r="N848" t="str">
        <f>"791.4302/33/092"</f>
        <v>791.4302/33/092</v>
      </c>
      <c r="O848" t="s">
        <v>4145</v>
      </c>
      <c r="P848" t="b">
        <v>0</v>
      </c>
      <c r="R848" t="str">
        <f>"9780582437388"</f>
        <v>9780582437388</v>
      </c>
      <c r="S848" t="str">
        <f>"9781317874874"</f>
        <v>9781317874874</v>
      </c>
      <c r="T848">
        <v>607714643</v>
      </c>
    </row>
    <row r="849" spans="1:20" x14ac:dyDescent="0.25">
      <c r="A849">
        <v>975179</v>
      </c>
      <c r="B849" t="s">
        <v>4146</v>
      </c>
      <c r="D849" t="s">
        <v>4147</v>
      </c>
      <c r="E849" t="s">
        <v>4147</v>
      </c>
      <c r="F849">
        <v>2015</v>
      </c>
      <c r="G849" t="s">
        <v>4148</v>
      </c>
      <c r="H849" t="s">
        <v>4149</v>
      </c>
      <c r="I849" t="s">
        <v>4150</v>
      </c>
      <c r="J849" t="s">
        <v>26</v>
      </c>
      <c r="K849" t="s">
        <v>27</v>
      </c>
      <c r="L849" t="b">
        <v>1</v>
      </c>
      <c r="M849" t="s">
        <v>4151</v>
      </c>
      <c r="N849" t="str">
        <f>"610.73071/1"</f>
        <v>610.73071/1</v>
      </c>
      <c r="P849" t="b">
        <v>0</v>
      </c>
      <c r="R849" t="str">
        <f>"9781940446080"</f>
        <v>9781940446080</v>
      </c>
      <c r="S849" t="str">
        <f>"9781940446103"</f>
        <v>9781940446103</v>
      </c>
      <c r="T849">
        <v>906577200</v>
      </c>
    </row>
    <row r="850" spans="1:20" x14ac:dyDescent="0.25">
      <c r="A850">
        <v>970823</v>
      </c>
      <c r="B850" t="s">
        <v>4152</v>
      </c>
      <c r="C850" t="s">
        <v>4153</v>
      </c>
      <c r="D850" t="s">
        <v>22</v>
      </c>
      <c r="E850" t="s">
        <v>22</v>
      </c>
      <c r="F850">
        <v>2015</v>
      </c>
      <c r="G850" t="s">
        <v>31</v>
      </c>
      <c r="H850" t="s">
        <v>4154</v>
      </c>
      <c r="I850" t="s">
        <v>4155</v>
      </c>
      <c r="J850" t="s">
        <v>26</v>
      </c>
      <c r="K850" t="s">
        <v>27</v>
      </c>
      <c r="L850" t="b">
        <v>1</v>
      </c>
      <c r="M850" t="s">
        <v>4156</v>
      </c>
      <c r="N850" t="str">
        <f>"794.801/9"</f>
        <v>794.801/9</v>
      </c>
      <c r="O850" t="s">
        <v>2686</v>
      </c>
      <c r="P850" t="b">
        <v>0</v>
      </c>
      <c r="Q850" t="b">
        <v>0</v>
      </c>
      <c r="R850" t="str">
        <f>"9789089646392"</f>
        <v>9789089646392</v>
      </c>
      <c r="S850" t="str">
        <f>"9789048523030"</f>
        <v>9789048523030</v>
      </c>
      <c r="T850">
        <v>908685847</v>
      </c>
    </row>
    <row r="851" spans="1:20" x14ac:dyDescent="0.25">
      <c r="A851">
        <v>970377</v>
      </c>
      <c r="B851" t="s">
        <v>4157</v>
      </c>
      <c r="C851" t="s">
        <v>4158</v>
      </c>
      <c r="D851" t="s">
        <v>123</v>
      </c>
      <c r="E851" t="s">
        <v>219</v>
      </c>
      <c r="F851">
        <v>2005</v>
      </c>
      <c r="G851" t="s">
        <v>4159</v>
      </c>
      <c r="H851" t="s">
        <v>4160</v>
      </c>
      <c r="I851" t="s">
        <v>4161</v>
      </c>
      <c r="J851" t="s">
        <v>26</v>
      </c>
      <c r="K851" t="s">
        <v>48</v>
      </c>
      <c r="L851" t="b">
        <v>1</v>
      </c>
      <c r="M851" t="s">
        <v>4162</v>
      </c>
      <c r="N851" t="str">
        <f>"294.3/37"</f>
        <v>294.3/37</v>
      </c>
      <c r="P851" t="b">
        <v>0</v>
      </c>
      <c r="Q851" t="b">
        <v>0</v>
      </c>
      <c r="R851" t="str">
        <f>"9780861714988"</f>
        <v>9780861714988</v>
      </c>
      <c r="S851" t="str">
        <f>"9780861718191"</f>
        <v>9780861718191</v>
      </c>
      <c r="T851">
        <v>908042526</v>
      </c>
    </row>
    <row r="852" spans="1:20" x14ac:dyDescent="0.25">
      <c r="A852">
        <v>960098</v>
      </c>
      <c r="B852" t="s">
        <v>4163</v>
      </c>
      <c r="C852" t="s">
        <v>4164</v>
      </c>
      <c r="D852" t="s">
        <v>4165</v>
      </c>
      <c r="E852" t="s">
        <v>4166</v>
      </c>
      <c r="F852">
        <v>2014</v>
      </c>
      <c r="G852" t="s">
        <v>3721</v>
      </c>
      <c r="H852" t="s">
        <v>4167</v>
      </c>
      <c r="I852" t="s">
        <v>4168</v>
      </c>
      <c r="J852" t="s">
        <v>26</v>
      </c>
      <c r="K852" t="s">
        <v>48</v>
      </c>
      <c r="L852" t="b">
        <v>1</v>
      </c>
      <c r="M852" t="s">
        <v>4166</v>
      </c>
      <c r="N852" t="str">
        <f>"362.1968310941"</f>
        <v>362.1968310941</v>
      </c>
      <c r="P852" t="b">
        <v>0</v>
      </c>
      <c r="Q852" t="b">
        <v>0</v>
      </c>
      <c r="S852" t="str">
        <f>"9781906647216"</f>
        <v>9781906647216</v>
      </c>
      <c r="T852">
        <v>906930846</v>
      </c>
    </row>
    <row r="853" spans="1:20" x14ac:dyDescent="0.25">
      <c r="A853">
        <v>958886</v>
      </c>
      <c r="B853" t="s">
        <v>4169</v>
      </c>
      <c r="D853" t="s">
        <v>4170</v>
      </c>
      <c r="E853" t="s">
        <v>4170</v>
      </c>
      <c r="F853">
        <v>2013</v>
      </c>
      <c r="G853" t="s">
        <v>818</v>
      </c>
      <c r="H853" t="s">
        <v>4171</v>
      </c>
      <c r="I853" t="s">
        <v>4172</v>
      </c>
      <c r="J853" t="s">
        <v>26</v>
      </c>
      <c r="K853" t="s">
        <v>27</v>
      </c>
      <c r="L853" t="b">
        <v>1</v>
      </c>
      <c r="M853" t="s">
        <v>4173</v>
      </c>
      <c r="N853" t="str">
        <f>"808.02"</f>
        <v>808.02</v>
      </c>
      <c r="P853" t="b">
        <v>0</v>
      </c>
      <c r="Q853" t="b">
        <v>0</v>
      </c>
      <c r="R853" t="str">
        <f>"9781938421099"</f>
        <v>9781938421099</v>
      </c>
      <c r="S853" t="str">
        <f>"9781938421129"</f>
        <v>9781938421129</v>
      </c>
      <c r="T853">
        <v>909906957</v>
      </c>
    </row>
    <row r="854" spans="1:20" x14ac:dyDescent="0.25">
      <c r="A854">
        <v>957631</v>
      </c>
      <c r="B854" t="s">
        <v>4174</v>
      </c>
      <c r="D854" t="s">
        <v>22</v>
      </c>
      <c r="E854" t="s">
        <v>22</v>
      </c>
      <c r="F854">
        <v>2015</v>
      </c>
      <c r="G854" t="s">
        <v>182</v>
      </c>
      <c r="H854" t="s">
        <v>4175</v>
      </c>
      <c r="I854" t="s">
        <v>4176</v>
      </c>
      <c r="J854" t="s">
        <v>26</v>
      </c>
      <c r="K854" t="s">
        <v>27</v>
      </c>
      <c r="L854" t="b">
        <v>1</v>
      </c>
      <c r="M854" t="s">
        <v>4177</v>
      </c>
      <c r="N854" t="str">
        <f>"410"</f>
        <v>410</v>
      </c>
      <c r="O854" t="s">
        <v>4178</v>
      </c>
      <c r="P854" t="b">
        <v>0</v>
      </c>
      <c r="Q854" t="b">
        <v>0</v>
      </c>
      <c r="R854" t="str">
        <f>"9789089645913"</f>
        <v>9789089645913</v>
      </c>
      <c r="S854" t="str">
        <f>"9789048522033"</f>
        <v>9789048522033</v>
      </c>
      <c r="T854">
        <v>905914530</v>
      </c>
    </row>
    <row r="855" spans="1:20" x14ac:dyDescent="0.25">
      <c r="A855">
        <v>954704</v>
      </c>
      <c r="B855" t="s">
        <v>4179</v>
      </c>
      <c r="C855" t="s">
        <v>4180</v>
      </c>
      <c r="D855" t="s">
        <v>131</v>
      </c>
      <c r="E855" t="s">
        <v>552</v>
      </c>
      <c r="F855">
        <v>2014</v>
      </c>
      <c r="G855" t="s">
        <v>4181</v>
      </c>
      <c r="H855" t="s">
        <v>4182</v>
      </c>
      <c r="I855" t="s">
        <v>4183</v>
      </c>
      <c r="J855" t="s">
        <v>26</v>
      </c>
      <c r="K855" t="s">
        <v>48</v>
      </c>
      <c r="L855" t="b">
        <v>1</v>
      </c>
      <c r="M855" t="s">
        <v>4184</v>
      </c>
      <c r="N855" t="str">
        <f>"345.680231"</f>
        <v>345.680231</v>
      </c>
      <c r="P855" t="b">
        <v>0</v>
      </c>
      <c r="Q855" t="b">
        <v>0</v>
      </c>
      <c r="R855" t="str">
        <f>"9781780745800"</f>
        <v>9781780745800</v>
      </c>
      <c r="S855" t="str">
        <f>"9781780746159"</f>
        <v>9781780746159</v>
      </c>
      <c r="T855">
        <v>892244042</v>
      </c>
    </row>
    <row r="856" spans="1:20" x14ac:dyDescent="0.25">
      <c r="A856">
        <v>954592</v>
      </c>
      <c r="B856" t="s">
        <v>4185</v>
      </c>
      <c r="D856" t="s">
        <v>131</v>
      </c>
      <c r="E856" t="s">
        <v>1885</v>
      </c>
      <c r="F856">
        <v>2015</v>
      </c>
      <c r="G856" t="s">
        <v>4186</v>
      </c>
      <c r="H856" t="s">
        <v>4187</v>
      </c>
      <c r="I856" t="s">
        <v>4188</v>
      </c>
      <c r="J856" t="s">
        <v>26</v>
      </c>
      <c r="K856" t="s">
        <v>86</v>
      </c>
      <c r="L856" t="b">
        <v>1</v>
      </c>
      <c r="M856" t="s">
        <v>2912</v>
      </c>
      <c r="N856" t="str">
        <f>"570"</f>
        <v>570</v>
      </c>
      <c r="P856" t="b">
        <v>0</v>
      </c>
      <c r="Q856" t="b">
        <v>0</v>
      </c>
      <c r="R856" t="str">
        <f>"9781578594900"</f>
        <v>9781578594900</v>
      </c>
      <c r="S856" t="str">
        <f>"9781578595242"</f>
        <v>9781578595242</v>
      </c>
      <c r="T856">
        <v>896600442</v>
      </c>
    </row>
    <row r="857" spans="1:20" x14ac:dyDescent="0.25">
      <c r="A857">
        <v>954433</v>
      </c>
      <c r="B857" t="s">
        <v>4189</v>
      </c>
      <c r="C857" t="s">
        <v>4190</v>
      </c>
      <c r="D857" t="s">
        <v>131</v>
      </c>
      <c r="E857" t="s">
        <v>4191</v>
      </c>
      <c r="F857">
        <v>2015</v>
      </c>
      <c r="G857" t="s">
        <v>2729</v>
      </c>
      <c r="H857" t="s">
        <v>4192</v>
      </c>
      <c r="I857" t="s">
        <v>4193</v>
      </c>
      <c r="J857" t="s">
        <v>26</v>
      </c>
      <c r="K857" t="s">
        <v>27</v>
      </c>
      <c r="L857" t="b">
        <v>1</v>
      </c>
      <c r="M857" t="s">
        <v>4194</v>
      </c>
      <c r="N857" t="str">
        <f>"618.92/85882"</f>
        <v>618.92/85882</v>
      </c>
      <c r="P857" t="b">
        <v>0</v>
      </c>
      <c r="Q857" t="b">
        <v>0</v>
      </c>
      <c r="R857" t="str">
        <f>"9781934716465"</f>
        <v>9781934716465</v>
      </c>
      <c r="S857" t="str">
        <f>"9781934716595"</f>
        <v>9781934716595</v>
      </c>
      <c r="T857">
        <v>905348648</v>
      </c>
    </row>
    <row r="858" spans="1:20" x14ac:dyDescent="0.25">
      <c r="A858">
        <v>954270</v>
      </c>
      <c r="B858" t="s">
        <v>4195</v>
      </c>
      <c r="D858" t="s">
        <v>1151</v>
      </c>
      <c r="E858" t="s">
        <v>4196</v>
      </c>
      <c r="F858">
        <v>2014</v>
      </c>
      <c r="G858" t="s">
        <v>2771</v>
      </c>
      <c r="H858" t="s">
        <v>4197</v>
      </c>
      <c r="I858" t="s">
        <v>4198</v>
      </c>
      <c r="J858" t="s">
        <v>26</v>
      </c>
      <c r="K858" t="s">
        <v>48</v>
      </c>
      <c r="L858" t="b">
        <v>1</v>
      </c>
      <c r="M858" t="s">
        <v>4199</v>
      </c>
      <c r="N858" t="str">
        <f>"808.027"</f>
        <v>808.027</v>
      </c>
      <c r="O858" t="s">
        <v>4200</v>
      </c>
      <c r="P858" t="b">
        <v>0</v>
      </c>
      <c r="Q858" t="b">
        <v>0</v>
      </c>
      <c r="S858" t="str">
        <f>"9781610395182"</f>
        <v>9781610395182</v>
      </c>
      <c r="T858">
        <v>880826240</v>
      </c>
    </row>
    <row r="859" spans="1:20" x14ac:dyDescent="0.25">
      <c r="A859">
        <v>954228</v>
      </c>
      <c r="B859" t="s">
        <v>4201</v>
      </c>
      <c r="C859" t="s">
        <v>4202</v>
      </c>
      <c r="D859" t="s">
        <v>131</v>
      </c>
      <c r="E859" t="s">
        <v>552</v>
      </c>
      <c r="F859">
        <v>2014</v>
      </c>
      <c r="G859" t="s">
        <v>4203</v>
      </c>
      <c r="H859" t="s">
        <v>4204</v>
      </c>
      <c r="I859" t="s">
        <v>4205</v>
      </c>
      <c r="J859" t="s">
        <v>26</v>
      </c>
      <c r="K859" t="s">
        <v>48</v>
      </c>
      <c r="L859" t="b">
        <v>1</v>
      </c>
      <c r="M859" t="s">
        <v>4206</v>
      </c>
      <c r="N859" t="str">
        <f>"919.8904"</f>
        <v>919.8904</v>
      </c>
      <c r="P859" t="b">
        <v>0</v>
      </c>
      <c r="Q859" t="b">
        <v>0</v>
      </c>
      <c r="R859" t="str">
        <f>"9781780745725"</f>
        <v>9781780745725</v>
      </c>
      <c r="S859" t="str">
        <f>"9781780745732"</f>
        <v>9781780745732</v>
      </c>
      <c r="T859">
        <v>892243996</v>
      </c>
    </row>
    <row r="860" spans="1:20" x14ac:dyDescent="0.25">
      <c r="A860">
        <v>954140</v>
      </c>
      <c r="B860" t="s">
        <v>4207</v>
      </c>
      <c r="C860" t="s">
        <v>4208</v>
      </c>
      <c r="D860" t="s">
        <v>131</v>
      </c>
      <c r="E860" t="s">
        <v>4209</v>
      </c>
      <c r="F860">
        <v>2009</v>
      </c>
      <c r="G860" t="s">
        <v>4210</v>
      </c>
      <c r="H860" t="s">
        <v>4211</v>
      </c>
      <c r="I860" t="s">
        <v>4212</v>
      </c>
      <c r="J860" t="s">
        <v>26</v>
      </c>
      <c r="K860" t="s">
        <v>48</v>
      </c>
      <c r="L860" t="b">
        <v>1</v>
      </c>
      <c r="M860" t="s">
        <v>4213</v>
      </c>
      <c r="N860" t="str">
        <f>"378.1/70281"</f>
        <v>378.1/70281</v>
      </c>
      <c r="O860" t="s">
        <v>4214</v>
      </c>
      <c r="P860" t="b">
        <v>0</v>
      </c>
      <c r="Q860" t="b">
        <v>0</v>
      </c>
      <c r="R860" t="str">
        <f>"9781933512082"</f>
        <v>9781933512082</v>
      </c>
      <c r="S860" t="str">
        <f>"9781933512389"</f>
        <v>9781933512389</v>
      </c>
      <c r="T860">
        <v>727647919</v>
      </c>
    </row>
    <row r="861" spans="1:20" x14ac:dyDescent="0.25">
      <c r="A861">
        <v>954092</v>
      </c>
      <c r="B861" t="s">
        <v>4215</v>
      </c>
      <c r="C861" t="s">
        <v>4216</v>
      </c>
      <c r="D861" t="s">
        <v>131</v>
      </c>
      <c r="E861" t="s">
        <v>4217</v>
      </c>
      <c r="F861">
        <v>2014</v>
      </c>
      <c r="G861" t="s">
        <v>1968</v>
      </c>
      <c r="H861" t="s">
        <v>4218</v>
      </c>
      <c r="I861" t="s">
        <v>4219</v>
      </c>
      <c r="J861" t="s">
        <v>26</v>
      </c>
      <c r="K861" t="s">
        <v>48</v>
      </c>
      <c r="L861" t="b">
        <v>1</v>
      </c>
      <c r="M861" t="s">
        <v>4220</v>
      </c>
      <c r="N861" t="str">
        <f>"814.008"</f>
        <v>814.008</v>
      </c>
      <c r="P861" t="b">
        <v>1</v>
      </c>
      <c r="Q861" t="b">
        <v>0</v>
      </c>
      <c r="R861" t="str">
        <f>"9781937163167"</f>
        <v>9781937163167</v>
      </c>
      <c r="S861" t="str">
        <f>"9781937163174"</f>
        <v>9781937163174</v>
      </c>
      <c r="T861">
        <v>957735864</v>
      </c>
    </row>
    <row r="862" spans="1:20" x14ac:dyDescent="0.25">
      <c r="A862">
        <v>954047</v>
      </c>
      <c r="B862" t="s">
        <v>4221</v>
      </c>
      <c r="D862" t="s">
        <v>131</v>
      </c>
      <c r="E862" t="s">
        <v>1731</v>
      </c>
      <c r="F862">
        <v>2013</v>
      </c>
      <c r="G862" t="s">
        <v>1879</v>
      </c>
      <c r="H862" t="s">
        <v>4222</v>
      </c>
      <c r="I862" t="s">
        <v>4223</v>
      </c>
      <c r="J862" t="s">
        <v>26</v>
      </c>
      <c r="K862" t="s">
        <v>48</v>
      </c>
      <c r="L862" t="b">
        <v>1</v>
      </c>
      <c r="M862" t="s">
        <v>4224</v>
      </c>
      <c r="N862" t="str">
        <f>"813/.54"</f>
        <v>813/.54</v>
      </c>
      <c r="P862" t="b">
        <v>1</v>
      </c>
      <c r="Q862" t="b">
        <v>0</v>
      </c>
      <c r="R862" t="str">
        <f>"9781938604218"</f>
        <v>9781938604218</v>
      </c>
      <c r="S862" t="str">
        <f>"9781938604225"</f>
        <v>9781938604225</v>
      </c>
      <c r="T862">
        <v>904014583</v>
      </c>
    </row>
    <row r="863" spans="1:20" x14ac:dyDescent="0.25">
      <c r="A863">
        <v>945499</v>
      </c>
      <c r="B863" t="s">
        <v>4225</v>
      </c>
      <c r="C863" t="s">
        <v>4226</v>
      </c>
      <c r="D863" t="s">
        <v>131</v>
      </c>
      <c r="E863" t="s">
        <v>276</v>
      </c>
      <c r="F863">
        <v>2015</v>
      </c>
      <c r="G863" t="s">
        <v>2771</v>
      </c>
      <c r="H863" t="s">
        <v>4227</v>
      </c>
      <c r="I863" t="s">
        <v>4228</v>
      </c>
      <c r="J863" t="s">
        <v>26</v>
      </c>
      <c r="K863" t="s">
        <v>86</v>
      </c>
      <c r="L863" t="b">
        <v>1</v>
      </c>
      <c r="M863" t="s">
        <v>4229</v>
      </c>
      <c r="N863" t="str">
        <f>"810.8/006"</f>
        <v>810.8/006</v>
      </c>
      <c r="P863" t="b">
        <v>0</v>
      </c>
      <c r="Q863" t="b">
        <v>0</v>
      </c>
      <c r="R863" t="str">
        <f>"9781595342553"</f>
        <v>9781595342553</v>
      </c>
      <c r="S863" t="str">
        <f>"9781595342560"</f>
        <v>9781595342560</v>
      </c>
      <c r="T863">
        <v>903956657</v>
      </c>
    </row>
    <row r="864" spans="1:20" x14ac:dyDescent="0.25">
      <c r="A864">
        <v>945498</v>
      </c>
      <c r="B864" t="s">
        <v>4230</v>
      </c>
      <c r="C864" t="s">
        <v>4231</v>
      </c>
      <c r="D864" t="s">
        <v>131</v>
      </c>
      <c r="E864" t="s">
        <v>276</v>
      </c>
      <c r="F864">
        <v>2015</v>
      </c>
      <c r="G864" t="s">
        <v>4232</v>
      </c>
      <c r="H864" t="s">
        <v>4233</v>
      </c>
      <c r="I864" t="s">
        <v>4234</v>
      </c>
      <c r="J864" t="s">
        <v>26</v>
      </c>
      <c r="K864" t="s">
        <v>86</v>
      </c>
      <c r="L864" t="b">
        <v>1</v>
      </c>
      <c r="M864" t="s">
        <v>4235</v>
      </c>
      <c r="N864" t="str">
        <f>"590.92"</f>
        <v>590.92</v>
      </c>
      <c r="P864" t="b">
        <v>1</v>
      </c>
      <c r="Q864" t="b">
        <v>0</v>
      </c>
      <c r="R864" t="str">
        <f>"9781595342539"</f>
        <v>9781595342539</v>
      </c>
      <c r="S864" t="str">
        <f>"9781595342546"</f>
        <v>9781595342546</v>
      </c>
      <c r="T864">
        <v>902679561</v>
      </c>
    </row>
    <row r="865" spans="1:20" x14ac:dyDescent="0.25">
      <c r="A865">
        <v>945223</v>
      </c>
      <c r="B865" t="s">
        <v>4236</v>
      </c>
      <c r="C865" t="s">
        <v>4237</v>
      </c>
      <c r="D865" t="s">
        <v>131</v>
      </c>
      <c r="E865" t="s">
        <v>4238</v>
      </c>
      <c r="F865">
        <v>2012</v>
      </c>
      <c r="G865" t="s">
        <v>4239</v>
      </c>
      <c r="H865" t="s">
        <v>4240</v>
      </c>
      <c r="I865" t="s">
        <v>4241</v>
      </c>
      <c r="J865" t="s">
        <v>26</v>
      </c>
      <c r="K865" t="s">
        <v>48</v>
      </c>
      <c r="L865" t="b">
        <v>1</v>
      </c>
      <c r="M865" t="s">
        <v>4242</v>
      </c>
      <c r="N865" t="str">
        <f>"324.973"</f>
        <v>324.973</v>
      </c>
      <c r="P865" t="b">
        <v>0</v>
      </c>
      <c r="Q865" t="b">
        <v>0</v>
      </c>
      <c r="R865" t="str">
        <f>"9781566569033"</f>
        <v>9781566569033</v>
      </c>
      <c r="S865" t="str">
        <f>"9781623710101"</f>
        <v>9781623710101</v>
      </c>
      <c r="T865">
        <v>818819611</v>
      </c>
    </row>
    <row r="866" spans="1:20" x14ac:dyDescent="0.25">
      <c r="A866">
        <v>945079</v>
      </c>
      <c r="B866" t="s">
        <v>4243</v>
      </c>
      <c r="D866" t="s">
        <v>131</v>
      </c>
      <c r="E866" t="s">
        <v>1731</v>
      </c>
      <c r="F866">
        <v>2014</v>
      </c>
      <c r="G866" t="s">
        <v>4244</v>
      </c>
      <c r="H866" t="s">
        <v>4245</v>
      </c>
      <c r="I866" t="s">
        <v>4246</v>
      </c>
      <c r="J866" t="s">
        <v>26</v>
      </c>
      <c r="K866" t="s">
        <v>48</v>
      </c>
      <c r="L866" t="b">
        <v>1</v>
      </c>
      <c r="M866" t="s">
        <v>4247</v>
      </c>
      <c r="N866" t="str">
        <f>"814/.6;B"</f>
        <v>814/.6;B</v>
      </c>
      <c r="P866" t="b">
        <v>0</v>
      </c>
      <c r="Q866" t="b">
        <v>0</v>
      </c>
      <c r="S866" t="str">
        <f>"9781941531921"</f>
        <v>9781941531921</v>
      </c>
      <c r="T866">
        <v>904012097</v>
      </c>
    </row>
    <row r="867" spans="1:20" x14ac:dyDescent="0.25">
      <c r="A867">
        <v>945077</v>
      </c>
      <c r="B867" t="s">
        <v>4248</v>
      </c>
      <c r="D867" t="s">
        <v>131</v>
      </c>
      <c r="E867" t="s">
        <v>1731</v>
      </c>
      <c r="F867">
        <v>2014</v>
      </c>
      <c r="G867" t="s">
        <v>4249</v>
      </c>
      <c r="H867" t="s">
        <v>4250</v>
      </c>
      <c r="I867" t="s">
        <v>4251</v>
      </c>
      <c r="J867" t="s">
        <v>26</v>
      </c>
      <c r="K867" t="s">
        <v>48</v>
      </c>
      <c r="L867" t="b">
        <v>1</v>
      </c>
      <c r="M867" t="s">
        <v>4252</v>
      </c>
      <c r="N867" t="str">
        <f>"811/.6"</f>
        <v>811/.6</v>
      </c>
      <c r="P867" t="b">
        <v>0</v>
      </c>
      <c r="Q867" t="b">
        <v>0</v>
      </c>
      <c r="S867" t="str">
        <f>"9781941531907"</f>
        <v>9781941531907</v>
      </c>
      <c r="T867">
        <v>904012095</v>
      </c>
    </row>
    <row r="868" spans="1:20" x14ac:dyDescent="0.25">
      <c r="A868">
        <v>945004</v>
      </c>
      <c r="B868" t="s">
        <v>4253</v>
      </c>
      <c r="D868" t="s">
        <v>131</v>
      </c>
      <c r="E868" t="s">
        <v>4254</v>
      </c>
      <c r="F868">
        <v>2012</v>
      </c>
      <c r="G868" t="s">
        <v>1879</v>
      </c>
      <c r="H868" t="s">
        <v>4255</v>
      </c>
      <c r="I868" t="s">
        <v>4256</v>
      </c>
      <c r="J868" t="s">
        <v>26</v>
      </c>
      <c r="K868" t="s">
        <v>48</v>
      </c>
      <c r="L868" t="b">
        <v>1</v>
      </c>
      <c r="M868" t="s">
        <v>4257</v>
      </c>
      <c r="N868" t="str">
        <f>"849/.9352"</f>
        <v>849/.9352</v>
      </c>
      <c r="P868" t="b">
        <v>1</v>
      </c>
      <c r="Q868" t="b">
        <v>0</v>
      </c>
      <c r="R868" t="str">
        <f>"9781564787729"</f>
        <v>9781564787729</v>
      </c>
      <c r="S868" t="str">
        <f>"9781564787736"</f>
        <v>9781564787736</v>
      </c>
      <c r="T868">
        <v>881469992</v>
      </c>
    </row>
    <row r="869" spans="1:20" x14ac:dyDescent="0.25">
      <c r="A869">
        <v>944650</v>
      </c>
      <c r="B869" t="s">
        <v>4258</v>
      </c>
      <c r="C869" t="s">
        <v>4259</v>
      </c>
      <c r="D869" t="s">
        <v>123</v>
      </c>
      <c r="E869" t="s">
        <v>219</v>
      </c>
      <c r="F869">
        <v>2015</v>
      </c>
      <c r="G869" t="s">
        <v>2937</v>
      </c>
      <c r="H869" t="s">
        <v>4260</v>
      </c>
      <c r="I869" t="s">
        <v>4261</v>
      </c>
      <c r="J869" t="s">
        <v>26</v>
      </c>
      <c r="K869" t="s">
        <v>48</v>
      </c>
      <c r="L869" t="b">
        <v>1</v>
      </c>
      <c r="M869" t="s">
        <v>4262</v>
      </c>
      <c r="N869" t="str">
        <f>"294.3/37"</f>
        <v>294.3/37</v>
      </c>
      <c r="P869" t="b">
        <v>0</v>
      </c>
      <c r="Q869" t="b">
        <v>0</v>
      </c>
      <c r="R869" t="str">
        <f>"9781614291251"</f>
        <v>9781614291251</v>
      </c>
      <c r="S869" t="str">
        <f>"9781614291497"</f>
        <v>9781614291497</v>
      </c>
      <c r="T869">
        <v>901271874</v>
      </c>
    </row>
    <row r="870" spans="1:20" x14ac:dyDescent="0.25">
      <c r="A870">
        <v>943982</v>
      </c>
      <c r="B870" t="s">
        <v>4263</v>
      </c>
      <c r="C870" t="s">
        <v>4264</v>
      </c>
      <c r="D870" t="s">
        <v>131</v>
      </c>
      <c r="E870" t="s">
        <v>4265</v>
      </c>
      <c r="F870">
        <v>2014</v>
      </c>
      <c r="G870" t="s">
        <v>4132</v>
      </c>
      <c r="H870" t="s">
        <v>4266</v>
      </c>
      <c r="I870" t="s">
        <v>4267</v>
      </c>
      <c r="J870" t="s">
        <v>26</v>
      </c>
      <c r="K870" t="s">
        <v>86</v>
      </c>
      <c r="L870" t="b">
        <v>1</v>
      </c>
      <c r="M870" t="s">
        <v>4268</v>
      </c>
      <c r="N870" t="str">
        <f>"304.2"</f>
        <v>304.2</v>
      </c>
      <c r="P870" t="b">
        <v>0</v>
      </c>
      <c r="Q870" t="b">
        <v>0</v>
      </c>
      <c r="S870" t="str">
        <f>"9780907791560"</f>
        <v>9780907791560</v>
      </c>
      <c r="T870">
        <v>905868493</v>
      </c>
    </row>
    <row r="871" spans="1:20" x14ac:dyDescent="0.25">
      <c r="A871">
        <v>943194</v>
      </c>
      <c r="B871" t="s">
        <v>4269</v>
      </c>
      <c r="D871" t="s">
        <v>123</v>
      </c>
      <c r="E871" t="s">
        <v>219</v>
      </c>
      <c r="F871">
        <v>2015</v>
      </c>
      <c r="G871" t="s">
        <v>4270</v>
      </c>
      <c r="H871" t="s">
        <v>4271</v>
      </c>
      <c r="I871" t="s">
        <v>4272</v>
      </c>
      <c r="J871" t="s">
        <v>26</v>
      </c>
      <c r="K871" t="s">
        <v>48</v>
      </c>
      <c r="L871" t="b">
        <v>1</v>
      </c>
      <c r="M871" t="s">
        <v>4273</v>
      </c>
      <c r="N871" t="str">
        <f>"294.3"</f>
        <v>294.3</v>
      </c>
      <c r="P871" t="b">
        <v>1</v>
      </c>
      <c r="Q871" t="b">
        <v>0</v>
      </c>
      <c r="R871" t="str">
        <f>"9781614290865"</f>
        <v>9781614290865</v>
      </c>
      <c r="S871" t="str">
        <f>"9781614291060"</f>
        <v>9781614291060</v>
      </c>
      <c r="T871">
        <v>900865254</v>
      </c>
    </row>
    <row r="872" spans="1:20" x14ac:dyDescent="0.25">
      <c r="A872">
        <v>941308</v>
      </c>
      <c r="B872" t="s">
        <v>4274</v>
      </c>
      <c r="D872" t="s">
        <v>874</v>
      </c>
      <c r="E872" t="s">
        <v>875</v>
      </c>
      <c r="F872">
        <v>2011</v>
      </c>
      <c r="G872" t="s">
        <v>4275</v>
      </c>
      <c r="H872" t="s">
        <v>4276</v>
      </c>
      <c r="I872" t="s">
        <v>4277</v>
      </c>
      <c r="J872" t="s">
        <v>26</v>
      </c>
      <c r="K872" t="s">
        <v>27</v>
      </c>
      <c r="L872" t="b">
        <v>1</v>
      </c>
      <c r="M872" t="s">
        <v>4278</v>
      </c>
      <c r="N872" t="str">
        <f>"617.8/82"</f>
        <v>617.8/82</v>
      </c>
      <c r="O872" t="s">
        <v>4279</v>
      </c>
      <c r="P872" t="b">
        <v>0</v>
      </c>
      <c r="Q872" t="b">
        <v>0</v>
      </c>
      <c r="S872" t="str">
        <f>"9781597567374"</f>
        <v>9781597567374</v>
      </c>
      <c r="T872">
        <v>900540662</v>
      </c>
    </row>
    <row r="873" spans="1:20" x14ac:dyDescent="0.25">
      <c r="A873">
        <v>939726</v>
      </c>
      <c r="B873" t="s">
        <v>4280</v>
      </c>
      <c r="C873" t="s">
        <v>4281</v>
      </c>
      <c r="D873" t="s">
        <v>4170</v>
      </c>
      <c r="E873" t="s">
        <v>4170</v>
      </c>
      <c r="F873">
        <v>2012</v>
      </c>
      <c r="G873" t="s">
        <v>4282</v>
      </c>
      <c r="H873" t="s">
        <v>4283</v>
      </c>
      <c r="I873" t="s">
        <v>4284</v>
      </c>
      <c r="J873" t="s">
        <v>26</v>
      </c>
      <c r="K873" t="s">
        <v>27</v>
      </c>
      <c r="L873" t="b">
        <v>1</v>
      </c>
      <c r="M873" t="s">
        <v>4173</v>
      </c>
      <c r="N873" t="str">
        <f>"501"</f>
        <v>501</v>
      </c>
      <c r="O873" t="s">
        <v>4281</v>
      </c>
      <c r="P873" t="b">
        <v>0</v>
      </c>
      <c r="Q873" t="b">
        <v>0</v>
      </c>
      <c r="R873" t="str">
        <f>"9780983452126"</f>
        <v>9780983452126</v>
      </c>
      <c r="S873" t="str">
        <f>"9780983452133"</f>
        <v>9780983452133</v>
      </c>
      <c r="T873">
        <v>909893276</v>
      </c>
    </row>
    <row r="874" spans="1:20" x14ac:dyDescent="0.25">
      <c r="A874">
        <v>939725</v>
      </c>
      <c r="B874" t="s">
        <v>4285</v>
      </c>
      <c r="C874" t="s">
        <v>4281</v>
      </c>
      <c r="D874" t="s">
        <v>4170</v>
      </c>
      <c r="E874" t="s">
        <v>4170</v>
      </c>
      <c r="F874">
        <v>2013</v>
      </c>
      <c r="G874" t="s">
        <v>4286</v>
      </c>
      <c r="H874" t="s">
        <v>4287</v>
      </c>
      <c r="I874" t="s">
        <v>4288</v>
      </c>
      <c r="J874" t="s">
        <v>26</v>
      </c>
      <c r="K874" t="s">
        <v>27</v>
      </c>
      <c r="L874" t="b">
        <v>1</v>
      </c>
      <c r="M874" t="s">
        <v>4173</v>
      </c>
      <c r="N874" t="str">
        <f>"160"</f>
        <v>160</v>
      </c>
      <c r="P874" t="b">
        <v>0</v>
      </c>
      <c r="Q874" t="b">
        <v>0</v>
      </c>
      <c r="R874" t="str">
        <f>"9781938421051"</f>
        <v>9781938421051</v>
      </c>
      <c r="S874" t="str">
        <f>"9781938421068"</f>
        <v>9781938421068</v>
      </c>
      <c r="T874">
        <v>907238228</v>
      </c>
    </row>
    <row r="875" spans="1:20" x14ac:dyDescent="0.25">
      <c r="A875">
        <v>939724</v>
      </c>
      <c r="B875" t="s">
        <v>4289</v>
      </c>
      <c r="C875" t="s">
        <v>4281</v>
      </c>
      <c r="D875" t="s">
        <v>4170</v>
      </c>
      <c r="E875" t="s">
        <v>4170</v>
      </c>
      <c r="F875">
        <v>2013</v>
      </c>
      <c r="G875" t="s">
        <v>4286</v>
      </c>
      <c r="H875" t="s">
        <v>4290</v>
      </c>
      <c r="I875" t="s">
        <v>4291</v>
      </c>
      <c r="J875" t="s">
        <v>26</v>
      </c>
      <c r="K875" t="s">
        <v>27</v>
      </c>
      <c r="L875" t="b">
        <v>1</v>
      </c>
      <c r="M875" t="s">
        <v>4173</v>
      </c>
      <c r="N875" t="str">
        <f>"160"</f>
        <v>160</v>
      </c>
      <c r="O875" t="s">
        <v>4292</v>
      </c>
      <c r="P875" t="b">
        <v>0</v>
      </c>
      <c r="Q875" t="b">
        <v>0</v>
      </c>
      <c r="R875" t="str">
        <f>"9780983452140"</f>
        <v>9780983452140</v>
      </c>
      <c r="S875" t="str">
        <f>"9780983452157"</f>
        <v>9780983452157</v>
      </c>
      <c r="T875">
        <v>909906959</v>
      </c>
    </row>
    <row r="876" spans="1:20" x14ac:dyDescent="0.25">
      <c r="A876">
        <v>939723</v>
      </c>
      <c r="B876" t="s">
        <v>4293</v>
      </c>
      <c r="C876" t="s">
        <v>4281</v>
      </c>
      <c r="D876" t="s">
        <v>4170</v>
      </c>
      <c r="E876" t="s">
        <v>4170</v>
      </c>
      <c r="F876">
        <v>2011</v>
      </c>
      <c r="G876" t="s">
        <v>2476</v>
      </c>
      <c r="H876" t="s">
        <v>4294</v>
      </c>
      <c r="I876" t="s">
        <v>4295</v>
      </c>
      <c r="J876" t="s">
        <v>26</v>
      </c>
      <c r="K876" t="s">
        <v>27</v>
      </c>
      <c r="L876" t="b">
        <v>1</v>
      </c>
      <c r="M876" t="s">
        <v>4296</v>
      </c>
      <c r="N876" t="str">
        <f>"122"</f>
        <v>122</v>
      </c>
      <c r="O876" t="s">
        <v>4292</v>
      </c>
      <c r="P876" t="b">
        <v>0</v>
      </c>
      <c r="Q876" t="b">
        <v>0</v>
      </c>
      <c r="R876" t="str">
        <f>"9780983452102"</f>
        <v>9780983452102</v>
      </c>
      <c r="S876" t="str">
        <f>"9780983452119"</f>
        <v>9780983452119</v>
      </c>
      <c r="T876">
        <v>909893275</v>
      </c>
    </row>
    <row r="877" spans="1:20" x14ac:dyDescent="0.25">
      <c r="A877">
        <v>937688</v>
      </c>
      <c r="B877" t="s">
        <v>4297</v>
      </c>
      <c r="C877" t="s">
        <v>4298</v>
      </c>
      <c r="D877" t="s">
        <v>123</v>
      </c>
      <c r="E877" t="s">
        <v>219</v>
      </c>
      <c r="F877">
        <v>2014</v>
      </c>
      <c r="G877" t="s">
        <v>2937</v>
      </c>
      <c r="H877" t="s">
        <v>4299</v>
      </c>
      <c r="I877" t="s">
        <v>4300</v>
      </c>
      <c r="J877" t="s">
        <v>26</v>
      </c>
      <c r="K877" t="s">
        <v>48</v>
      </c>
      <c r="L877" t="b">
        <v>1</v>
      </c>
      <c r="M877" t="s">
        <v>4301</v>
      </c>
      <c r="N877" t="str">
        <f>"294.3/85"</f>
        <v>294.3/85</v>
      </c>
      <c r="P877" t="b">
        <v>0</v>
      </c>
      <c r="Q877" t="b">
        <v>0</v>
      </c>
      <c r="R877" t="str">
        <f>"9780861715305"</f>
        <v>9780861715305</v>
      </c>
      <c r="S877" t="str">
        <f>"9781614291312"</f>
        <v>9781614291312</v>
      </c>
      <c r="T877">
        <v>893133908</v>
      </c>
    </row>
    <row r="878" spans="1:20" x14ac:dyDescent="0.25">
      <c r="A878">
        <v>936523</v>
      </c>
      <c r="B878" t="s">
        <v>4302</v>
      </c>
      <c r="C878" t="s">
        <v>4303</v>
      </c>
      <c r="D878" t="s">
        <v>4165</v>
      </c>
      <c r="E878" t="s">
        <v>4166</v>
      </c>
      <c r="F878">
        <v>2011</v>
      </c>
      <c r="G878" t="s">
        <v>4304</v>
      </c>
      <c r="H878" t="s">
        <v>4167</v>
      </c>
      <c r="I878" t="s">
        <v>4305</v>
      </c>
      <c r="J878" t="s">
        <v>26</v>
      </c>
      <c r="K878" t="s">
        <v>48</v>
      </c>
      <c r="L878" t="b">
        <v>1</v>
      </c>
      <c r="M878" t="s">
        <v>4166</v>
      </c>
      <c r="N878" t="str">
        <f>"616.8/3"</f>
        <v>616.8/3</v>
      </c>
      <c r="P878" t="b">
        <v>0</v>
      </c>
      <c r="Q878" t="b">
        <v>0</v>
      </c>
      <c r="S878" t="str">
        <f>"9781906647278"</f>
        <v>9781906647278</v>
      </c>
      <c r="T878">
        <v>906930768</v>
      </c>
    </row>
    <row r="879" spans="1:20" x14ac:dyDescent="0.25">
      <c r="A879">
        <v>936522</v>
      </c>
      <c r="B879" t="s">
        <v>4306</v>
      </c>
      <c r="C879" t="s">
        <v>4307</v>
      </c>
      <c r="D879" t="s">
        <v>4165</v>
      </c>
      <c r="E879" t="s">
        <v>4166</v>
      </c>
      <c r="F879">
        <v>2013</v>
      </c>
      <c r="G879" t="s">
        <v>3721</v>
      </c>
      <c r="H879" t="s">
        <v>4308</v>
      </c>
      <c r="I879" t="s">
        <v>4309</v>
      </c>
      <c r="J879" t="s">
        <v>26</v>
      </c>
      <c r="K879" t="s">
        <v>48</v>
      </c>
      <c r="L879" t="b">
        <v>1</v>
      </c>
      <c r="M879" t="s">
        <v>4310</v>
      </c>
      <c r="N879" t="str">
        <f>"362.196831"</f>
        <v>362.196831</v>
      </c>
      <c r="P879" t="b">
        <v>0</v>
      </c>
      <c r="Q879" t="b">
        <v>0</v>
      </c>
      <c r="S879" t="str">
        <f>"9781906647261"</f>
        <v>9781906647261</v>
      </c>
      <c r="T879">
        <v>906930835</v>
      </c>
    </row>
    <row r="880" spans="1:20" x14ac:dyDescent="0.25">
      <c r="A880">
        <v>936521</v>
      </c>
      <c r="B880" t="s">
        <v>4311</v>
      </c>
      <c r="C880" t="s">
        <v>4312</v>
      </c>
      <c r="D880" t="s">
        <v>4165</v>
      </c>
      <c r="E880" t="s">
        <v>4166</v>
      </c>
      <c r="F880">
        <v>2011</v>
      </c>
      <c r="G880" t="s">
        <v>811</v>
      </c>
      <c r="H880" t="s">
        <v>4313</v>
      </c>
      <c r="I880" t="s">
        <v>4314</v>
      </c>
      <c r="J880" t="s">
        <v>26</v>
      </c>
      <c r="K880" t="s">
        <v>48</v>
      </c>
      <c r="L880" t="b">
        <v>1</v>
      </c>
      <c r="M880" t="s">
        <v>4315</v>
      </c>
      <c r="N880" t="str">
        <f>"362.6"</f>
        <v>362.6</v>
      </c>
      <c r="P880" t="b">
        <v>0</v>
      </c>
      <c r="Q880" t="b">
        <v>0</v>
      </c>
      <c r="S880" t="str">
        <f>"9781906647254"</f>
        <v>9781906647254</v>
      </c>
      <c r="T880">
        <v>905853876</v>
      </c>
    </row>
    <row r="881" spans="1:20" x14ac:dyDescent="0.25">
      <c r="A881">
        <v>936520</v>
      </c>
      <c r="B881" t="s">
        <v>4316</v>
      </c>
      <c r="C881" t="s">
        <v>4317</v>
      </c>
      <c r="D881" t="s">
        <v>4165</v>
      </c>
      <c r="E881" t="s">
        <v>4166</v>
      </c>
      <c r="F881">
        <v>2011</v>
      </c>
      <c r="G881" t="s">
        <v>811</v>
      </c>
      <c r="H881" t="s">
        <v>4318</v>
      </c>
      <c r="I881" t="s">
        <v>4319</v>
      </c>
      <c r="J881" t="s">
        <v>26</v>
      </c>
      <c r="K881" t="s">
        <v>48</v>
      </c>
      <c r="L881" t="b">
        <v>1</v>
      </c>
      <c r="M881" t="s">
        <v>4320</v>
      </c>
      <c r="N881" t="str">
        <f>"362.3"</f>
        <v>362.3</v>
      </c>
      <c r="P881" t="b">
        <v>0</v>
      </c>
      <c r="Q881" t="b">
        <v>0</v>
      </c>
      <c r="S881" t="str">
        <f>"9781906647247"</f>
        <v>9781906647247</v>
      </c>
      <c r="T881">
        <v>905853875</v>
      </c>
    </row>
    <row r="882" spans="1:20" x14ac:dyDescent="0.25">
      <c r="A882">
        <v>935462</v>
      </c>
      <c r="B882" t="s">
        <v>4321</v>
      </c>
      <c r="C882" t="s">
        <v>4322</v>
      </c>
      <c r="D882" t="s">
        <v>1364</v>
      </c>
      <c r="E882" t="s">
        <v>2275</v>
      </c>
      <c r="F882">
        <v>2014</v>
      </c>
      <c r="G882" t="s">
        <v>100</v>
      </c>
      <c r="H882" t="s">
        <v>4323</v>
      </c>
      <c r="I882" t="s">
        <v>4324</v>
      </c>
      <c r="J882" t="s">
        <v>26</v>
      </c>
      <c r="K882" t="s">
        <v>27</v>
      </c>
      <c r="L882" t="b">
        <v>1</v>
      </c>
      <c r="M882" t="s">
        <v>4325</v>
      </c>
      <c r="N882" t="str">
        <f>"419.45"</f>
        <v>419.45</v>
      </c>
      <c r="O882" t="s">
        <v>4326</v>
      </c>
      <c r="P882" t="b">
        <v>0</v>
      </c>
      <c r="R882" t="str">
        <f>"9781501510373"</f>
        <v>9781501510373</v>
      </c>
      <c r="S882" t="str">
        <f>"9781501500008"</f>
        <v>9781501500008</v>
      </c>
      <c r="T882">
        <v>898770012</v>
      </c>
    </row>
    <row r="883" spans="1:20" x14ac:dyDescent="0.25">
      <c r="A883">
        <v>934167</v>
      </c>
      <c r="B883" t="s">
        <v>4327</v>
      </c>
      <c r="C883" t="s">
        <v>4328</v>
      </c>
      <c r="D883" t="s">
        <v>4170</v>
      </c>
      <c r="E883" t="s">
        <v>4170</v>
      </c>
      <c r="F883">
        <v>2014</v>
      </c>
      <c r="G883" t="s">
        <v>4329</v>
      </c>
      <c r="H883" t="s">
        <v>4330</v>
      </c>
      <c r="I883" t="s">
        <v>4331</v>
      </c>
      <c r="J883" t="s">
        <v>26</v>
      </c>
      <c r="K883" t="s">
        <v>27</v>
      </c>
      <c r="L883" t="b">
        <v>1</v>
      </c>
      <c r="M883" t="s">
        <v>4296</v>
      </c>
      <c r="N883" t="str">
        <f>"419.1"</f>
        <v>419.1</v>
      </c>
      <c r="P883" t="b">
        <v>0</v>
      </c>
      <c r="Q883" t="b">
        <v>0</v>
      </c>
      <c r="R883" t="str">
        <f>"9781938421242"</f>
        <v>9781938421242</v>
      </c>
      <c r="S883" t="str">
        <f>"9781938421259"</f>
        <v>9781938421259</v>
      </c>
      <c r="T883">
        <v>899211567</v>
      </c>
    </row>
    <row r="884" spans="1:20" x14ac:dyDescent="0.25">
      <c r="A884">
        <v>932834</v>
      </c>
      <c r="B884" t="s">
        <v>4332</v>
      </c>
      <c r="C884" t="s">
        <v>4333</v>
      </c>
      <c r="D884" t="s">
        <v>131</v>
      </c>
      <c r="E884" t="s">
        <v>276</v>
      </c>
      <c r="F884">
        <v>2014</v>
      </c>
      <c r="G884" t="s">
        <v>2567</v>
      </c>
      <c r="H884" t="s">
        <v>4334</v>
      </c>
      <c r="I884" t="s">
        <v>4335</v>
      </c>
      <c r="J884" t="s">
        <v>26</v>
      </c>
      <c r="K884" t="s">
        <v>86</v>
      </c>
      <c r="L884" t="b">
        <v>1</v>
      </c>
      <c r="M884" t="s">
        <v>4336</v>
      </c>
      <c r="N884" t="str">
        <f>"707.9764351"</f>
        <v>707.9764351</v>
      </c>
      <c r="P884" t="b">
        <v>0</v>
      </c>
      <c r="Q884" t="b">
        <v>0</v>
      </c>
      <c r="R884" t="str">
        <f>"9781595341969"</f>
        <v>9781595341969</v>
      </c>
      <c r="S884" t="str">
        <f>"9781595341976"</f>
        <v>9781595341976</v>
      </c>
      <c r="T884">
        <v>890530678</v>
      </c>
    </row>
    <row r="885" spans="1:20" x14ac:dyDescent="0.25">
      <c r="A885">
        <v>932828</v>
      </c>
      <c r="B885" t="s">
        <v>4337</v>
      </c>
      <c r="D885" t="s">
        <v>131</v>
      </c>
      <c r="E885" t="s">
        <v>4338</v>
      </c>
      <c r="F885">
        <v>2013</v>
      </c>
      <c r="G885" t="s">
        <v>4275</v>
      </c>
      <c r="H885" t="s">
        <v>4339</v>
      </c>
      <c r="I885" t="s">
        <v>4340</v>
      </c>
      <c r="J885" t="s">
        <v>26</v>
      </c>
      <c r="K885" t="s">
        <v>48</v>
      </c>
      <c r="L885" t="b">
        <v>1</v>
      </c>
      <c r="M885" t="s">
        <v>4341</v>
      </c>
      <c r="N885" t="str">
        <f>"617.9/178"</f>
        <v>617.9/178</v>
      </c>
      <c r="P885" t="b">
        <v>0</v>
      </c>
      <c r="Q885" t="b">
        <v>0</v>
      </c>
      <c r="R885" t="str">
        <f>"9781938170126"</f>
        <v>9781938170126</v>
      </c>
      <c r="S885" t="str">
        <f>"9781938170140"</f>
        <v>9781938170140</v>
      </c>
      <c r="T885">
        <v>845256518</v>
      </c>
    </row>
    <row r="886" spans="1:20" x14ac:dyDescent="0.25">
      <c r="A886">
        <v>932707</v>
      </c>
      <c r="B886" t="s">
        <v>4342</v>
      </c>
      <c r="C886" t="s">
        <v>4343</v>
      </c>
      <c r="D886" t="s">
        <v>123</v>
      </c>
      <c r="E886" t="s">
        <v>1927</v>
      </c>
      <c r="F886">
        <v>2015</v>
      </c>
      <c r="G886" t="s">
        <v>4344</v>
      </c>
      <c r="H886" t="s">
        <v>4345</v>
      </c>
      <c r="I886" t="s">
        <v>4346</v>
      </c>
      <c r="J886" t="s">
        <v>26</v>
      </c>
      <c r="K886" t="s">
        <v>48</v>
      </c>
      <c r="L886" t="b">
        <v>1</v>
      </c>
      <c r="M886" t="s">
        <v>4347</v>
      </c>
      <c r="N886" t="str">
        <f>"303.48/33"</f>
        <v>303.48/33</v>
      </c>
      <c r="P886" t="b">
        <v>0</v>
      </c>
      <c r="Q886" t="b">
        <v>0</v>
      </c>
      <c r="R886" t="str">
        <f>"9781621573739"</f>
        <v>9781621573739</v>
      </c>
      <c r="S886" t="str">
        <f>"9781621573807"</f>
        <v>9781621573807</v>
      </c>
      <c r="T886">
        <v>899264392</v>
      </c>
    </row>
    <row r="887" spans="1:20" x14ac:dyDescent="0.25">
      <c r="A887">
        <v>932347</v>
      </c>
      <c r="B887" t="s">
        <v>4348</v>
      </c>
      <c r="D887" t="s">
        <v>785</v>
      </c>
      <c r="E887" t="s">
        <v>785</v>
      </c>
      <c r="F887">
        <v>2014</v>
      </c>
      <c r="G887" t="s">
        <v>2209</v>
      </c>
      <c r="H887" t="s">
        <v>4349</v>
      </c>
      <c r="I887" t="s">
        <v>4350</v>
      </c>
      <c r="J887" t="s">
        <v>26</v>
      </c>
      <c r="K887" t="s">
        <v>27</v>
      </c>
      <c r="L887" t="b">
        <v>1</v>
      </c>
      <c r="M887" t="s">
        <v>4351</v>
      </c>
      <c r="N887" t="str">
        <f>"004.068/4"</f>
        <v>004.068/4</v>
      </c>
      <c r="P887" t="b">
        <v>0</v>
      </c>
      <c r="R887" t="str">
        <f>"9781631571220"</f>
        <v>9781631571220</v>
      </c>
      <c r="S887" t="str">
        <f>"9781631571237"</f>
        <v>9781631571237</v>
      </c>
      <c r="T887">
        <v>899157710</v>
      </c>
    </row>
    <row r="888" spans="1:20" x14ac:dyDescent="0.25">
      <c r="A888">
        <v>928177</v>
      </c>
      <c r="B888" t="s">
        <v>4352</v>
      </c>
      <c r="C888" t="s">
        <v>4353</v>
      </c>
      <c r="D888" t="s">
        <v>2013</v>
      </c>
      <c r="E888" t="s">
        <v>2013</v>
      </c>
      <c r="F888">
        <v>2014</v>
      </c>
      <c r="G888" t="s">
        <v>571</v>
      </c>
      <c r="H888" t="s">
        <v>4354</v>
      </c>
      <c r="I888" t="s">
        <v>4355</v>
      </c>
      <c r="J888" t="s">
        <v>26</v>
      </c>
      <c r="K888" t="s">
        <v>27</v>
      </c>
      <c r="L888" t="b">
        <v>1</v>
      </c>
      <c r="M888" t="s">
        <v>4356</v>
      </c>
      <c r="N888" t="str">
        <f>"297.2/72"</f>
        <v>297.2/72</v>
      </c>
      <c r="O888" t="s">
        <v>4357</v>
      </c>
      <c r="P888" t="b">
        <v>0</v>
      </c>
      <c r="Q888" t="b">
        <v>0</v>
      </c>
      <c r="R888" t="str">
        <f>"9789058679994"</f>
        <v>9789058679994</v>
      </c>
      <c r="S888" t="str">
        <f>"9789461661524"</f>
        <v>9789461661524</v>
      </c>
      <c r="T888">
        <v>958447990</v>
      </c>
    </row>
    <row r="889" spans="1:20" x14ac:dyDescent="0.25">
      <c r="A889">
        <v>924392</v>
      </c>
      <c r="B889" t="s">
        <v>4358</v>
      </c>
      <c r="C889" t="s">
        <v>316</v>
      </c>
      <c r="D889" t="s">
        <v>2238</v>
      </c>
      <c r="E889" t="s">
        <v>2239</v>
      </c>
      <c r="F889">
        <v>2007</v>
      </c>
      <c r="G889" t="s">
        <v>4359</v>
      </c>
      <c r="H889" t="s">
        <v>4360</v>
      </c>
      <c r="I889" t="s">
        <v>4361</v>
      </c>
      <c r="J889" t="s">
        <v>26</v>
      </c>
      <c r="K889" t="s">
        <v>86</v>
      </c>
      <c r="L889" t="b">
        <v>1</v>
      </c>
      <c r="M889" t="s">
        <v>4362</v>
      </c>
      <c r="N889" t="str">
        <f>"200.71"</f>
        <v>200.71</v>
      </c>
      <c r="P889" t="b">
        <v>0</v>
      </c>
      <c r="R889" t="str">
        <f>"9781845530112"</f>
        <v>9781845530112</v>
      </c>
      <c r="S889" t="str">
        <f>"9781317491668"</f>
        <v>9781317491668</v>
      </c>
      <c r="T889">
        <v>647929489</v>
      </c>
    </row>
    <row r="890" spans="1:20" x14ac:dyDescent="0.25">
      <c r="A890">
        <v>921641</v>
      </c>
      <c r="B890" t="s">
        <v>4363</v>
      </c>
      <c r="C890" t="s">
        <v>4364</v>
      </c>
      <c r="D890" t="s">
        <v>131</v>
      </c>
      <c r="E890" t="s">
        <v>552</v>
      </c>
      <c r="F890">
        <v>2015</v>
      </c>
      <c r="G890" t="s">
        <v>2061</v>
      </c>
      <c r="H890" t="s">
        <v>4365</v>
      </c>
      <c r="I890" t="s">
        <v>4366</v>
      </c>
      <c r="J890" t="s">
        <v>26</v>
      </c>
      <c r="K890" t="s">
        <v>48</v>
      </c>
      <c r="L890" t="b">
        <v>1</v>
      </c>
      <c r="M890" t="s">
        <v>4367</v>
      </c>
      <c r="N890" t="str">
        <f>"340.59"</f>
        <v>340.59</v>
      </c>
      <c r="P890" t="b">
        <v>0</v>
      </c>
      <c r="Q890" t="b">
        <v>0</v>
      </c>
      <c r="R890" t="str">
        <f>"9781780747163"</f>
        <v>9781780747163</v>
      </c>
      <c r="S890" t="str">
        <f>"9781780747170"</f>
        <v>9781780747170</v>
      </c>
      <c r="T890">
        <v>897069567</v>
      </c>
    </row>
    <row r="891" spans="1:20" x14ac:dyDescent="0.25">
      <c r="A891">
        <v>921335</v>
      </c>
      <c r="B891" t="s">
        <v>4368</v>
      </c>
      <c r="D891" t="s">
        <v>22</v>
      </c>
      <c r="E891" t="s">
        <v>22</v>
      </c>
      <c r="F891">
        <v>2014</v>
      </c>
      <c r="G891" t="s">
        <v>57</v>
      </c>
      <c r="H891" t="s">
        <v>4369</v>
      </c>
      <c r="I891" t="s">
        <v>4370</v>
      </c>
      <c r="J891" t="s">
        <v>26</v>
      </c>
      <c r="K891" t="s">
        <v>27</v>
      </c>
      <c r="L891" t="b">
        <v>1</v>
      </c>
      <c r="M891" t="s">
        <v>4371</v>
      </c>
      <c r="N891" t="str">
        <f>"346.0482"</f>
        <v>346.0482</v>
      </c>
      <c r="O891" t="s">
        <v>29</v>
      </c>
      <c r="P891" t="b">
        <v>0</v>
      </c>
      <c r="Q891" t="b">
        <v>0</v>
      </c>
      <c r="R891" t="str">
        <f>"9789089646354"</f>
        <v>9789089646354</v>
      </c>
      <c r="S891" t="str">
        <f>"9789048523009"</f>
        <v>9789048523009</v>
      </c>
      <c r="T891">
        <v>899277582</v>
      </c>
    </row>
    <row r="892" spans="1:20" x14ac:dyDescent="0.25">
      <c r="A892">
        <v>921334</v>
      </c>
      <c r="B892" t="s">
        <v>4372</v>
      </c>
      <c r="D892" t="s">
        <v>22</v>
      </c>
      <c r="E892" t="s">
        <v>22</v>
      </c>
      <c r="F892">
        <v>2014</v>
      </c>
      <c r="G892" t="s">
        <v>31</v>
      </c>
      <c r="H892" t="s">
        <v>4373</v>
      </c>
      <c r="I892" t="s">
        <v>4374</v>
      </c>
      <c r="J892" t="s">
        <v>26</v>
      </c>
      <c r="K892" t="s">
        <v>27</v>
      </c>
      <c r="L892" t="b">
        <v>1</v>
      </c>
      <c r="M892" t="s">
        <v>4375</v>
      </c>
      <c r="N892" t="str">
        <f>"070.5/797"</f>
        <v>070.5/797</v>
      </c>
      <c r="O892" t="s">
        <v>29</v>
      </c>
      <c r="P892" t="b">
        <v>0</v>
      </c>
      <c r="Q892" t="b">
        <v>0</v>
      </c>
      <c r="R892" t="str">
        <f>"9789089645647"</f>
        <v>9789089645647</v>
      </c>
      <c r="S892" t="str">
        <f>"9789048519712"</f>
        <v>9789048519712</v>
      </c>
      <c r="T892">
        <v>898424086</v>
      </c>
    </row>
    <row r="893" spans="1:20" x14ac:dyDescent="0.25">
      <c r="A893">
        <v>921108</v>
      </c>
      <c r="B893" t="s">
        <v>4376</v>
      </c>
      <c r="C893" t="s">
        <v>4377</v>
      </c>
      <c r="D893" t="s">
        <v>131</v>
      </c>
      <c r="E893" t="s">
        <v>2389</v>
      </c>
      <c r="F893">
        <v>2014</v>
      </c>
      <c r="G893" t="s">
        <v>4378</v>
      </c>
      <c r="H893" t="s">
        <v>4379</v>
      </c>
      <c r="I893" t="s">
        <v>4300</v>
      </c>
      <c r="J893" t="s">
        <v>26</v>
      </c>
      <c r="K893" t="s">
        <v>86</v>
      </c>
      <c r="L893" t="b">
        <v>1</v>
      </c>
      <c r="M893" t="s">
        <v>4380</v>
      </c>
      <c r="N893" t="str">
        <f>"194"</f>
        <v>194</v>
      </c>
      <c r="O893" t="s">
        <v>2426</v>
      </c>
      <c r="P893" t="b">
        <v>0</v>
      </c>
      <c r="R893" t="str">
        <f>"9780823262090"</f>
        <v>9780823262090</v>
      </c>
      <c r="S893" t="str">
        <f>"9780823262120"</f>
        <v>9780823262120</v>
      </c>
      <c r="T893">
        <v>891351204</v>
      </c>
    </row>
    <row r="894" spans="1:20" x14ac:dyDescent="0.25">
      <c r="A894">
        <v>921106</v>
      </c>
      <c r="B894" t="s">
        <v>4381</v>
      </c>
      <c r="C894" t="s">
        <v>4382</v>
      </c>
      <c r="D894" t="s">
        <v>131</v>
      </c>
      <c r="E894" t="s">
        <v>2566</v>
      </c>
      <c r="F894">
        <v>2015</v>
      </c>
      <c r="G894" t="s">
        <v>2444</v>
      </c>
      <c r="H894" t="s">
        <v>4383</v>
      </c>
      <c r="I894" t="s">
        <v>4384</v>
      </c>
      <c r="J894" t="s">
        <v>26</v>
      </c>
      <c r="K894" t="s">
        <v>86</v>
      </c>
      <c r="L894" t="b">
        <v>1</v>
      </c>
      <c r="M894" t="s">
        <v>4385</v>
      </c>
      <c r="N894" t="str">
        <f>"810.9/97471"</f>
        <v>810.9/97471</v>
      </c>
      <c r="P894" t="b">
        <v>0</v>
      </c>
      <c r="R894" t="str">
        <f>"9780823263158"</f>
        <v>9780823263158</v>
      </c>
      <c r="S894" t="str">
        <f>"9780823263172"</f>
        <v>9780823263172</v>
      </c>
      <c r="T894">
        <v>893676427</v>
      </c>
    </row>
    <row r="895" spans="1:20" x14ac:dyDescent="0.25">
      <c r="A895">
        <v>921105</v>
      </c>
      <c r="B895" t="s">
        <v>4386</v>
      </c>
      <c r="C895" t="s">
        <v>4387</v>
      </c>
      <c r="D895" t="s">
        <v>131</v>
      </c>
      <c r="E895" t="s">
        <v>2439</v>
      </c>
      <c r="F895">
        <v>2014</v>
      </c>
      <c r="G895" t="s">
        <v>509</v>
      </c>
      <c r="H895" t="s">
        <v>4388</v>
      </c>
      <c r="I895" t="s">
        <v>4389</v>
      </c>
      <c r="J895" t="s">
        <v>26</v>
      </c>
      <c r="K895" t="s">
        <v>86</v>
      </c>
      <c r="L895" t="b">
        <v>1</v>
      </c>
      <c r="M895" t="s">
        <v>4390</v>
      </c>
      <c r="N895" t="str">
        <f>"418/.020954"</f>
        <v>418/.020954</v>
      </c>
      <c r="P895" t="b">
        <v>0</v>
      </c>
      <c r="R895" t="str">
        <f>"9780823263615"</f>
        <v>9780823263615</v>
      </c>
      <c r="S895" t="str">
        <f>"9780823263639"</f>
        <v>9780823263639</v>
      </c>
      <c r="T895">
        <v>889302830</v>
      </c>
    </row>
    <row r="896" spans="1:20" x14ac:dyDescent="0.25">
      <c r="A896">
        <v>921104</v>
      </c>
      <c r="B896" t="s">
        <v>4391</v>
      </c>
      <c r="C896" t="s">
        <v>4392</v>
      </c>
      <c r="D896" t="s">
        <v>131</v>
      </c>
      <c r="E896" t="s">
        <v>2389</v>
      </c>
      <c r="F896">
        <v>2015</v>
      </c>
      <c r="G896" t="s">
        <v>4393</v>
      </c>
      <c r="H896" t="s">
        <v>4394</v>
      </c>
      <c r="J896" t="s">
        <v>26</v>
      </c>
      <c r="K896" t="s">
        <v>86</v>
      </c>
      <c r="L896" t="b">
        <v>1</v>
      </c>
      <c r="M896" t="s">
        <v>4395</v>
      </c>
      <c r="N896" t="str">
        <f>"809"</f>
        <v>809</v>
      </c>
      <c r="O896" t="s">
        <v>4396</v>
      </c>
      <c r="P896" t="b">
        <v>0</v>
      </c>
      <c r="R896" t="str">
        <f>"9780823262274"</f>
        <v>9780823262274</v>
      </c>
      <c r="S896" t="str">
        <f>"9780823262298"</f>
        <v>9780823262298</v>
      </c>
      <c r="T896">
        <v>891381754</v>
      </c>
    </row>
    <row r="897" spans="1:20" x14ac:dyDescent="0.25">
      <c r="A897">
        <v>921103</v>
      </c>
      <c r="B897" t="s">
        <v>4397</v>
      </c>
      <c r="C897" t="s">
        <v>4398</v>
      </c>
      <c r="D897" t="s">
        <v>131</v>
      </c>
      <c r="E897" t="s">
        <v>2566</v>
      </c>
      <c r="F897">
        <v>2015</v>
      </c>
      <c r="G897" t="s">
        <v>2444</v>
      </c>
      <c r="H897" t="s">
        <v>4399</v>
      </c>
      <c r="I897" t="s">
        <v>4400</v>
      </c>
      <c r="J897" t="s">
        <v>26</v>
      </c>
      <c r="K897" t="s">
        <v>86</v>
      </c>
      <c r="L897" t="b">
        <v>1</v>
      </c>
      <c r="M897" t="s">
        <v>4401</v>
      </c>
      <c r="N897" t="str">
        <f>"363.609747090511"</f>
        <v>363.609747090511</v>
      </c>
      <c r="P897" t="b">
        <v>0</v>
      </c>
      <c r="R897" t="str">
        <f>"9780823261901"</f>
        <v>9780823261901</v>
      </c>
      <c r="S897" t="str">
        <f>"9780823261925"</f>
        <v>9780823261925</v>
      </c>
      <c r="T897">
        <v>893676425</v>
      </c>
    </row>
    <row r="898" spans="1:20" x14ac:dyDescent="0.25">
      <c r="A898">
        <v>921102</v>
      </c>
      <c r="B898" t="s">
        <v>4402</v>
      </c>
      <c r="C898" t="s">
        <v>4403</v>
      </c>
      <c r="D898" t="s">
        <v>131</v>
      </c>
      <c r="E898" t="s">
        <v>2389</v>
      </c>
      <c r="F898">
        <v>2015</v>
      </c>
      <c r="G898" t="s">
        <v>605</v>
      </c>
      <c r="H898" t="s">
        <v>4404</v>
      </c>
      <c r="J898" t="s">
        <v>26</v>
      </c>
      <c r="K898" t="s">
        <v>86</v>
      </c>
      <c r="L898" t="b">
        <v>1</v>
      </c>
      <c r="M898" t="s">
        <v>4405</v>
      </c>
      <c r="N898" t="str">
        <f>"700.1"</f>
        <v>700.1</v>
      </c>
      <c r="O898" t="s">
        <v>2426</v>
      </c>
      <c r="P898" t="b">
        <v>0</v>
      </c>
      <c r="R898" t="str">
        <f>"9780823263240"</f>
        <v>9780823263240</v>
      </c>
      <c r="S898" t="str">
        <f>"9780823263264"</f>
        <v>9780823263264</v>
      </c>
      <c r="T898">
        <v>891351203</v>
      </c>
    </row>
    <row r="899" spans="1:20" x14ac:dyDescent="0.25">
      <c r="A899">
        <v>921101</v>
      </c>
      <c r="B899" t="s">
        <v>4406</v>
      </c>
      <c r="C899" t="s">
        <v>4407</v>
      </c>
      <c r="D899" t="s">
        <v>131</v>
      </c>
      <c r="E899" t="s">
        <v>2389</v>
      </c>
      <c r="F899">
        <v>2015</v>
      </c>
      <c r="G899" t="s">
        <v>4378</v>
      </c>
      <c r="H899" t="s">
        <v>4408</v>
      </c>
      <c r="I899" t="s">
        <v>4409</v>
      </c>
      <c r="J899" t="s">
        <v>26</v>
      </c>
      <c r="K899" t="s">
        <v>86</v>
      </c>
      <c r="L899" t="b">
        <v>1</v>
      </c>
      <c r="M899" t="s">
        <v>4410</v>
      </c>
      <c r="N899" t="str">
        <f>"194"</f>
        <v>194</v>
      </c>
      <c r="O899" t="s">
        <v>2426</v>
      </c>
      <c r="P899" t="b">
        <v>0</v>
      </c>
      <c r="R899" t="str">
        <f>"9780823263288"</f>
        <v>9780823263288</v>
      </c>
      <c r="S899" t="str">
        <f>"9780823263318"</f>
        <v>9780823263318</v>
      </c>
      <c r="T899">
        <v>891381746</v>
      </c>
    </row>
    <row r="900" spans="1:20" x14ac:dyDescent="0.25">
      <c r="A900">
        <v>921100</v>
      </c>
      <c r="B900" t="s">
        <v>4411</v>
      </c>
      <c r="C900" t="s">
        <v>4412</v>
      </c>
      <c r="D900" t="s">
        <v>131</v>
      </c>
      <c r="E900" t="s">
        <v>2439</v>
      </c>
      <c r="F900">
        <v>2015</v>
      </c>
      <c r="G900" t="s">
        <v>4378</v>
      </c>
      <c r="H900" t="s">
        <v>4413</v>
      </c>
      <c r="I900" t="s">
        <v>4414</v>
      </c>
      <c r="J900" t="s">
        <v>26</v>
      </c>
      <c r="K900" t="s">
        <v>86</v>
      </c>
      <c r="L900" t="b">
        <v>1</v>
      </c>
      <c r="M900" t="s">
        <v>4415</v>
      </c>
      <c r="N900" t="str">
        <f>"195"</f>
        <v>195</v>
      </c>
      <c r="O900" t="s">
        <v>4416</v>
      </c>
      <c r="P900" t="b">
        <v>0</v>
      </c>
      <c r="R900" t="str">
        <f>"9780823262045"</f>
        <v>9780823262045</v>
      </c>
      <c r="S900" t="str">
        <f>"9780823262076"</f>
        <v>9780823262076</v>
      </c>
      <c r="T900">
        <v>891381745</v>
      </c>
    </row>
    <row r="901" spans="1:20" x14ac:dyDescent="0.25">
      <c r="A901">
        <v>921098</v>
      </c>
      <c r="B901" t="s">
        <v>4417</v>
      </c>
      <c r="C901" t="s">
        <v>4418</v>
      </c>
      <c r="D901" t="s">
        <v>131</v>
      </c>
      <c r="E901" t="s">
        <v>2389</v>
      </c>
      <c r="F901">
        <v>2014</v>
      </c>
      <c r="G901" t="s">
        <v>1649</v>
      </c>
      <c r="H901" t="s">
        <v>4419</v>
      </c>
      <c r="I901" t="s">
        <v>4420</v>
      </c>
      <c r="J901" t="s">
        <v>26</v>
      </c>
      <c r="K901" t="s">
        <v>86</v>
      </c>
      <c r="L901" t="b">
        <v>1</v>
      </c>
      <c r="M901" t="s">
        <v>4421</v>
      </c>
      <c r="N901" t="str">
        <f>"300"</f>
        <v>300</v>
      </c>
      <c r="P901" t="b">
        <v>0</v>
      </c>
      <c r="R901" t="str">
        <f>"9780823256013"</f>
        <v>9780823256013</v>
      </c>
      <c r="S901" t="str">
        <f>"9780823256051"</f>
        <v>9780823256051</v>
      </c>
      <c r="T901">
        <v>878144553</v>
      </c>
    </row>
    <row r="902" spans="1:20" x14ac:dyDescent="0.25">
      <c r="A902">
        <v>921097</v>
      </c>
      <c r="B902" t="s">
        <v>4422</v>
      </c>
      <c r="C902" t="s">
        <v>4423</v>
      </c>
      <c r="D902" t="s">
        <v>131</v>
      </c>
      <c r="E902" t="s">
        <v>2389</v>
      </c>
      <c r="F902">
        <v>2015</v>
      </c>
      <c r="G902" t="s">
        <v>4378</v>
      </c>
      <c r="H902" t="s">
        <v>4424</v>
      </c>
      <c r="I902" t="s">
        <v>4425</v>
      </c>
      <c r="J902" t="s">
        <v>26</v>
      </c>
      <c r="K902" t="s">
        <v>86</v>
      </c>
      <c r="L902" t="b">
        <v>1</v>
      </c>
      <c r="M902" t="s">
        <v>4426</v>
      </c>
      <c r="N902" t="str">
        <f>"814.54"</f>
        <v>814.54</v>
      </c>
      <c r="O902" t="s">
        <v>4416</v>
      </c>
      <c r="P902" t="b">
        <v>0</v>
      </c>
      <c r="R902" t="str">
        <f>"9780823256105"</f>
        <v>9780823256105</v>
      </c>
      <c r="S902" t="str">
        <f>"9780823256143"</f>
        <v>9780823256143</v>
      </c>
      <c r="T902">
        <v>893676426</v>
      </c>
    </row>
    <row r="903" spans="1:20" x14ac:dyDescent="0.25">
      <c r="A903">
        <v>921096</v>
      </c>
      <c r="B903" t="s">
        <v>4427</v>
      </c>
      <c r="C903" t="s">
        <v>4428</v>
      </c>
      <c r="D903" t="s">
        <v>131</v>
      </c>
      <c r="E903" t="s">
        <v>2405</v>
      </c>
      <c r="F903">
        <v>2014</v>
      </c>
      <c r="G903" t="s">
        <v>2417</v>
      </c>
      <c r="H903" t="s">
        <v>4429</v>
      </c>
      <c r="I903" t="s">
        <v>4430</v>
      </c>
      <c r="J903" t="s">
        <v>26</v>
      </c>
      <c r="K903" t="s">
        <v>86</v>
      </c>
      <c r="L903" t="b">
        <v>1</v>
      </c>
      <c r="M903" t="s">
        <v>4431</v>
      </c>
      <c r="N903" t="str">
        <f>"813/.3093553"</f>
        <v>813/.3093553</v>
      </c>
      <c r="P903" t="b">
        <v>0</v>
      </c>
      <c r="R903" t="str">
        <f>"9780823263004"</f>
        <v>9780823263004</v>
      </c>
      <c r="S903" t="str">
        <f>"9780823263028"</f>
        <v>9780823263028</v>
      </c>
      <c r="T903">
        <v>889302820</v>
      </c>
    </row>
    <row r="904" spans="1:20" x14ac:dyDescent="0.25">
      <c r="A904">
        <v>921095</v>
      </c>
      <c r="B904" t="s">
        <v>4432</v>
      </c>
      <c r="C904" t="s">
        <v>4433</v>
      </c>
      <c r="D904" t="s">
        <v>131</v>
      </c>
      <c r="E904" t="s">
        <v>2389</v>
      </c>
      <c r="F904">
        <v>2014</v>
      </c>
      <c r="G904" t="s">
        <v>4434</v>
      </c>
      <c r="H904" t="s">
        <v>4435</v>
      </c>
      <c r="I904" t="s">
        <v>4436</v>
      </c>
      <c r="J904" t="s">
        <v>26</v>
      </c>
      <c r="K904" t="s">
        <v>86</v>
      </c>
      <c r="L904" t="b">
        <v>1</v>
      </c>
      <c r="M904" t="s">
        <v>4437</v>
      </c>
      <c r="N904" t="str">
        <f>"720.98"</f>
        <v>720.98</v>
      </c>
      <c r="P904" t="b">
        <v>0</v>
      </c>
      <c r="R904" t="str">
        <f>"9780823260799"</f>
        <v>9780823260799</v>
      </c>
      <c r="S904" t="str">
        <f>"9780823260829"</f>
        <v>9780823260829</v>
      </c>
      <c r="T904">
        <v>889268971</v>
      </c>
    </row>
    <row r="905" spans="1:20" x14ac:dyDescent="0.25">
      <c r="A905">
        <v>921094</v>
      </c>
      <c r="B905" t="s">
        <v>4438</v>
      </c>
      <c r="D905" t="s">
        <v>131</v>
      </c>
      <c r="E905" t="s">
        <v>2389</v>
      </c>
      <c r="F905">
        <v>2015</v>
      </c>
      <c r="G905" t="s">
        <v>2400</v>
      </c>
      <c r="H905" t="s">
        <v>4439</v>
      </c>
      <c r="I905" t="s">
        <v>4440</v>
      </c>
      <c r="J905" t="s">
        <v>26</v>
      </c>
      <c r="K905" t="s">
        <v>86</v>
      </c>
      <c r="L905" t="b">
        <v>1</v>
      </c>
      <c r="M905" t="s">
        <v>4441</v>
      </c>
      <c r="N905" t="str">
        <f>"809.3/9353"</f>
        <v>809.3/9353</v>
      </c>
      <c r="P905" t="b">
        <v>0</v>
      </c>
      <c r="R905" t="str">
        <f>"9780823262601"</f>
        <v>9780823262601</v>
      </c>
      <c r="S905" t="str">
        <f>"9780823262625"</f>
        <v>9780823262625</v>
      </c>
      <c r="T905">
        <v>896852955</v>
      </c>
    </row>
    <row r="906" spans="1:20" x14ac:dyDescent="0.25">
      <c r="A906">
        <v>921092</v>
      </c>
      <c r="B906" t="s">
        <v>4442</v>
      </c>
      <c r="D906" t="s">
        <v>131</v>
      </c>
      <c r="E906" t="s">
        <v>2405</v>
      </c>
      <c r="F906">
        <v>2015</v>
      </c>
      <c r="G906" t="s">
        <v>577</v>
      </c>
      <c r="H906" t="s">
        <v>4443</v>
      </c>
      <c r="I906" t="s">
        <v>4444</v>
      </c>
      <c r="J906" t="s">
        <v>26</v>
      </c>
      <c r="K906" t="s">
        <v>86</v>
      </c>
      <c r="L906" t="b">
        <v>1</v>
      </c>
      <c r="M906" t="s">
        <v>4445</v>
      </c>
      <c r="N906" t="str">
        <f>"808.1"</f>
        <v>808.1</v>
      </c>
      <c r="P906" t="b">
        <v>0</v>
      </c>
      <c r="R906" t="str">
        <f>"9780823262465"</f>
        <v>9780823262465</v>
      </c>
      <c r="S906" t="str">
        <f>"9780823262496"</f>
        <v>9780823262496</v>
      </c>
      <c r="T906">
        <v>896852950</v>
      </c>
    </row>
    <row r="907" spans="1:20" x14ac:dyDescent="0.25">
      <c r="A907">
        <v>921091</v>
      </c>
      <c r="B907" t="s">
        <v>4446</v>
      </c>
      <c r="C907" t="s">
        <v>4447</v>
      </c>
      <c r="D907" t="s">
        <v>131</v>
      </c>
      <c r="E907" t="s">
        <v>2389</v>
      </c>
      <c r="F907">
        <v>2015</v>
      </c>
      <c r="G907" t="s">
        <v>856</v>
      </c>
      <c r="H907" t="s">
        <v>4448</v>
      </c>
      <c r="I907" t="s">
        <v>4449</v>
      </c>
      <c r="J907" t="s">
        <v>26</v>
      </c>
      <c r="K907" t="s">
        <v>86</v>
      </c>
      <c r="L907" t="b">
        <v>1</v>
      </c>
      <c r="M907" t="s">
        <v>2533</v>
      </c>
      <c r="N907" t="str">
        <f>"363.3401"</f>
        <v>363.3401</v>
      </c>
      <c r="P907" t="b">
        <v>0</v>
      </c>
      <c r="R907" t="str">
        <f>"9780823263387"</f>
        <v>9780823263387</v>
      </c>
      <c r="S907" t="str">
        <f>"9780823263417"</f>
        <v>9780823263417</v>
      </c>
      <c r="T907">
        <v>891381673</v>
      </c>
    </row>
    <row r="908" spans="1:20" x14ac:dyDescent="0.25">
      <c r="A908">
        <v>921090</v>
      </c>
      <c r="B908" t="s">
        <v>4450</v>
      </c>
      <c r="C908" t="s">
        <v>4451</v>
      </c>
      <c r="D908" t="s">
        <v>131</v>
      </c>
      <c r="E908" t="s">
        <v>2389</v>
      </c>
      <c r="F908">
        <v>2011</v>
      </c>
      <c r="G908" t="s">
        <v>23</v>
      </c>
      <c r="H908" t="s">
        <v>4452</v>
      </c>
      <c r="I908" t="s">
        <v>4453</v>
      </c>
      <c r="J908" t="s">
        <v>26</v>
      </c>
      <c r="K908" t="s">
        <v>86</v>
      </c>
      <c r="L908" t="b">
        <v>1</v>
      </c>
      <c r="M908" t="s">
        <v>4454</v>
      </c>
      <c r="N908" t="str">
        <f>"176"</f>
        <v>176</v>
      </c>
      <c r="P908" t="b">
        <v>0</v>
      </c>
      <c r="R908" t="str">
        <f>"9780823237241"</f>
        <v>9780823237241</v>
      </c>
      <c r="S908" t="str">
        <f>"9780823263929"</f>
        <v>9780823263929</v>
      </c>
      <c r="T908">
        <v>787845997</v>
      </c>
    </row>
    <row r="909" spans="1:20" x14ac:dyDescent="0.25">
      <c r="A909">
        <v>921089</v>
      </c>
      <c r="B909" t="s">
        <v>4455</v>
      </c>
      <c r="D909" t="s">
        <v>131</v>
      </c>
      <c r="E909" t="s">
        <v>2389</v>
      </c>
      <c r="F909">
        <v>2015</v>
      </c>
      <c r="G909" t="s">
        <v>605</v>
      </c>
      <c r="H909" t="s">
        <v>4456</v>
      </c>
      <c r="I909" t="s">
        <v>4457</v>
      </c>
      <c r="J909" t="s">
        <v>26</v>
      </c>
      <c r="K909" t="s">
        <v>86</v>
      </c>
      <c r="L909" t="b">
        <v>1</v>
      </c>
      <c r="M909" t="s">
        <v>4458</v>
      </c>
      <c r="N909" t="str">
        <f>"160"</f>
        <v>160</v>
      </c>
      <c r="O909" t="s">
        <v>4459</v>
      </c>
      <c r="P909" t="b">
        <v>0</v>
      </c>
      <c r="R909" t="str">
        <f>"9780823257188"</f>
        <v>9780823257188</v>
      </c>
      <c r="S909" t="str">
        <f>"9780823257218"</f>
        <v>9780823257218</v>
      </c>
      <c r="T909">
        <v>896852951</v>
      </c>
    </row>
    <row r="910" spans="1:20" x14ac:dyDescent="0.25">
      <c r="A910">
        <v>921087</v>
      </c>
      <c r="B910" t="s">
        <v>4460</v>
      </c>
      <c r="C910" t="s">
        <v>4461</v>
      </c>
      <c r="D910" t="s">
        <v>131</v>
      </c>
      <c r="E910" t="s">
        <v>2389</v>
      </c>
      <c r="F910">
        <v>2014</v>
      </c>
      <c r="G910" t="s">
        <v>4462</v>
      </c>
      <c r="H910" t="s">
        <v>4463</v>
      </c>
      <c r="I910" t="s">
        <v>4464</v>
      </c>
      <c r="J910" t="s">
        <v>26</v>
      </c>
      <c r="K910" t="s">
        <v>86</v>
      </c>
      <c r="L910" t="b">
        <v>1</v>
      </c>
      <c r="M910" t="s">
        <v>4465</v>
      </c>
      <c r="N910" t="str">
        <f>"823"</f>
        <v>823</v>
      </c>
      <c r="P910" t="b">
        <v>0</v>
      </c>
      <c r="R910" t="str">
        <f>"9780823262335"</f>
        <v>9780823262335</v>
      </c>
      <c r="S910" t="str">
        <f>"9780823262359"</f>
        <v>9780823262359</v>
      </c>
      <c r="T910">
        <v>889302791</v>
      </c>
    </row>
    <row r="911" spans="1:20" x14ac:dyDescent="0.25">
      <c r="A911">
        <v>921086</v>
      </c>
      <c r="B911" t="s">
        <v>4466</v>
      </c>
      <c r="C911" t="s">
        <v>4467</v>
      </c>
      <c r="D911" t="s">
        <v>131</v>
      </c>
      <c r="E911" t="s">
        <v>2389</v>
      </c>
      <c r="F911">
        <v>2014</v>
      </c>
      <c r="G911" t="s">
        <v>509</v>
      </c>
      <c r="H911" t="s">
        <v>4468</v>
      </c>
      <c r="I911" t="s">
        <v>4469</v>
      </c>
      <c r="J911" t="s">
        <v>26</v>
      </c>
      <c r="K911" t="s">
        <v>86</v>
      </c>
      <c r="L911" t="b">
        <v>1</v>
      </c>
      <c r="M911" t="s">
        <v>4470</v>
      </c>
      <c r="N911" t="str">
        <f>"801/.950973"</f>
        <v>801/.950973</v>
      </c>
      <c r="P911" t="b">
        <v>0</v>
      </c>
      <c r="R911" t="str">
        <f>"9780823263806"</f>
        <v>9780823263806</v>
      </c>
      <c r="S911" t="str">
        <f>"9780823263837"</f>
        <v>9780823263837</v>
      </c>
      <c r="T911">
        <v>889302749</v>
      </c>
    </row>
    <row r="912" spans="1:20" x14ac:dyDescent="0.25">
      <c r="A912">
        <v>921085</v>
      </c>
      <c r="B912" t="s">
        <v>4471</v>
      </c>
      <c r="C912" t="s">
        <v>4472</v>
      </c>
      <c r="D912" t="s">
        <v>131</v>
      </c>
      <c r="E912" t="s">
        <v>2389</v>
      </c>
      <c r="F912">
        <v>2014</v>
      </c>
      <c r="G912" t="s">
        <v>4359</v>
      </c>
      <c r="H912" t="s">
        <v>4473</v>
      </c>
      <c r="J912" t="s">
        <v>26</v>
      </c>
      <c r="K912" t="s">
        <v>86</v>
      </c>
      <c r="L912" t="b">
        <v>1</v>
      </c>
      <c r="M912" t="s">
        <v>4474</v>
      </c>
      <c r="N912" t="str">
        <f>"184"</f>
        <v>184</v>
      </c>
      <c r="P912" t="b">
        <v>0</v>
      </c>
      <c r="R912" t="str">
        <f>"9780823257430"</f>
        <v>9780823257430</v>
      </c>
      <c r="S912" t="str">
        <f>"9780823257461"</f>
        <v>9780823257461</v>
      </c>
      <c r="T912">
        <v>894476749</v>
      </c>
    </row>
    <row r="913" spans="1:20" x14ac:dyDescent="0.25">
      <c r="A913">
        <v>921084</v>
      </c>
      <c r="B913" t="s">
        <v>4475</v>
      </c>
      <c r="C913" t="s">
        <v>4476</v>
      </c>
      <c r="D913" t="s">
        <v>131</v>
      </c>
      <c r="E913" t="s">
        <v>2389</v>
      </c>
      <c r="F913">
        <v>2014</v>
      </c>
      <c r="G913" t="s">
        <v>4477</v>
      </c>
      <c r="H913" t="s">
        <v>4478</v>
      </c>
      <c r="I913" t="s">
        <v>4479</v>
      </c>
      <c r="J913" t="s">
        <v>26</v>
      </c>
      <c r="K913" t="s">
        <v>86</v>
      </c>
      <c r="L913" t="b">
        <v>1</v>
      </c>
      <c r="M913" t="s">
        <v>4480</v>
      </c>
      <c r="N913" t="str">
        <f>"202/.4"</f>
        <v>202/.4</v>
      </c>
      <c r="O913" t="s">
        <v>4481</v>
      </c>
      <c r="P913" t="b">
        <v>0</v>
      </c>
      <c r="R913" t="str">
        <f>"9780823263196"</f>
        <v>9780823263196</v>
      </c>
      <c r="S913" t="str">
        <f>"9780823263226"</f>
        <v>9780823263226</v>
      </c>
      <c r="T913">
        <v>891381747</v>
      </c>
    </row>
    <row r="914" spans="1:20" x14ac:dyDescent="0.25">
      <c r="A914">
        <v>921083</v>
      </c>
      <c r="B914" t="s">
        <v>4482</v>
      </c>
      <c r="D914" t="s">
        <v>131</v>
      </c>
      <c r="E914" t="s">
        <v>2389</v>
      </c>
      <c r="F914">
        <v>2015</v>
      </c>
      <c r="G914" t="s">
        <v>4483</v>
      </c>
      <c r="H914" t="s">
        <v>4484</v>
      </c>
      <c r="J914" t="s">
        <v>26</v>
      </c>
      <c r="K914" t="s">
        <v>86</v>
      </c>
      <c r="L914" t="b">
        <v>1</v>
      </c>
      <c r="M914" t="s">
        <v>4485</v>
      </c>
      <c r="N914" t="str">
        <f>"193"</f>
        <v>193</v>
      </c>
      <c r="O914" t="s">
        <v>2426</v>
      </c>
      <c r="P914" t="b">
        <v>0</v>
      </c>
      <c r="R914" t="str">
        <f>"9780823262861"</f>
        <v>9780823262861</v>
      </c>
      <c r="S914" t="str">
        <f>"9780823262892"</f>
        <v>9780823262892</v>
      </c>
      <c r="T914">
        <v>891381731</v>
      </c>
    </row>
    <row r="915" spans="1:20" x14ac:dyDescent="0.25">
      <c r="A915">
        <v>921082</v>
      </c>
      <c r="B915" t="s">
        <v>4486</v>
      </c>
      <c r="C915" t="s">
        <v>4487</v>
      </c>
      <c r="D915" t="s">
        <v>131</v>
      </c>
      <c r="E915" t="s">
        <v>2389</v>
      </c>
      <c r="F915">
        <v>2014</v>
      </c>
      <c r="G915" t="s">
        <v>4488</v>
      </c>
      <c r="H915" t="s">
        <v>4489</v>
      </c>
      <c r="I915" t="s">
        <v>4490</v>
      </c>
      <c r="J915" t="s">
        <v>26</v>
      </c>
      <c r="K915" t="s">
        <v>86</v>
      </c>
      <c r="L915" t="b">
        <v>1</v>
      </c>
      <c r="M915" t="s">
        <v>4491</v>
      </c>
      <c r="N915" t="str">
        <f>"324.6/20869270973"</f>
        <v>324.6/20869270973</v>
      </c>
      <c r="O915" t="s">
        <v>4492</v>
      </c>
      <c r="P915" t="b">
        <v>0</v>
      </c>
      <c r="R915" t="str">
        <f>"9780823262410"</f>
        <v>9780823262410</v>
      </c>
      <c r="S915" t="str">
        <f>"9780823262441"</f>
        <v>9780823262441</v>
      </c>
      <c r="T915">
        <v>889302779</v>
      </c>
    </row>
    <row r="916" spans="1:20" x14ac:dyDescent="0.25">
      <c r="A916">
        <v>921081</v>
      </c>
      <c r="B916" t="s">
        <v>4493</v>
      </c>
      <c r="C916" t="s">
        <v>4494</v>
      </c>
      <c r="D916" t="s">
        <v>131</v>
      </c>
      <c r="E916" t="s">
        <v>2389</v>
      </c>
      <c r="F916">
        <v>2014</v>
      </c>
      <c r="G916" t="s">
        <v>4282</v>
      </c>
      <c r="H916" t="s">
        <v>4495</v>
      </c>
      <c r="I916" t="s">
        <v>4496</v>
      </c>
      <c r="J916" t="s">
        <v>26</v>
      </c>
      <c r="K916" t="s">
        <v>86</v>
      </c>
      <c r="L916" t="b">
        <v>1</v>
      </c>
      <c r="M916" t="s">
        <v>4497</v>
      </c>
      <c r="N916" t="str">
        <f>"340.115"</f>
        <v>340.115</v>
      </c>
      <c r="O916" t="s">
        <v>4498</v>
      </c>
      <c r="P916" t="b">
        <v>0</v>
      </c>
      <c r="R916" t="str">
        <f>"9780823263691"</f>
        <v>9780823263691</v>
      </c>
      <c r="S916" t="str">
        <f>"9780823263721"</f>
        <v>9780823263721</v>
      </c>
      <c r="T916">
        <v>892300418</v>
      </c>
    </row>
    <row r="917" spans="1:20" x14ac:dyDescent="0.25">
      <c r="A917">
        <v>921079</v>
      </c>
      <c r="B917" t="s">
        <v>4499</v>
      </c>
      <c r="D917" t="s">
        <v>131</v>
      </c>
      <c r="E917" t="s">
        <v>2389</v>
      </c>
      <c r="F917">
        <v>2015</v>
      </c>
      <c r="G917" t="s">
        <v>83</v>
      </c>
      <c r="H917" t="s">
        <v>4500</v>
      </c>
      <c r="I917" t="s">
        <v>4501</v>
      </c>
      <c r="J917" t="s">
        <v>26</v>
      </c>
      <c r="K917" t="s">
        <v>86</v>
      </c>
      <c r="L917" t="b">
        <v>1</v>
      </c>
      <c r="M917" t="s">
        <v>4502</v>
      </c>
      <c r="N917" t="str">
        <f>"142.7"</f>
        <v>142.7</v>
      </c>
      <c r="P917" t="b">
        <v>0</v>
      </c>
      <c r="R917" t="str">
        <f>"9780823263332"</f>
        <v>9780823263332</v>
      </c>
      <c r="S917" t="str">
        <f>"9780823263363"</f>
        <v>9780823263363</v>
      </c>
      <c r="T917">
        <v>891382914</v>
      </c>
    </row>
    <row r="918" spans="1:20" x14ac:dyDescent="0.25">
      <c r="A918">
        <v>919077</v>
      </c>
      <c r="B918" t="s">
        <v>4503</v>
      </c>
      <c r="C918" t="s">
        <v>4504</v>
      </c>
      <c r="D918" t="s">
        <v>4505</v>
      </c>
      <c r="E918" t="s">
        <v>4506</v>
      </c>
      <c r="F918">
        <v>2014</v>
      </c>
      <c r="G918" t="s">
        <v>676</v>
      </c>
      <c r="H918" t="s">
        <v>4507</v>
      </c>
      <c r="I918" t="s">
        <v>4508</v>
      </c>
      <c r="J918" t="s">
        <v>26</v>
      </c>
      <c r="K918" t="s">
        <v>27</v>
      </c>
      <c r="L918" t="b">
        <v>1</v>
      </c>
      <c r="M918" t="s">
        <v>4509</v>
      </c>
      <c r="N918" t="str">
        <f>"709"</f>
        <v>709</v>
      </c>
      <c r="P918" t="b">
        <v>0</v>
      </c>
      <c r="R918" t="str">
        <f>"9789004279810"</f>
        <v>9789004279810</v>
      </c>
      <c r="S918" t="str">
        <f>"9789004285286"</f>
        <v>9789004285286</v>
      </c>
      <c r="T918">
        <v>897644208</v>
      </c>
    </row>
    <row r="919" spans="1:20" x14ac:dyDescent="0.25">
      <c r="A919">
        <v>910853</v>
      </c>
      <c r="B919" t="s">
        <v>4510</v>
      </c>
      <c r="D919" t="s">
        <v>131</v>
      </c>
      <c r="E919" t="s">
        <v>552</v>
      </c>
      <c r="F919">
        <v>2014</v>
      </c>
      <c r="G919" t="s">
        <v>2061</v>
      </c>
      <c r="H919" t="s">
        <v>4511</v>
      </c>
      <c r="I919" t="s">
        <v>4512</v>
      </c>
      <c r="J919" t="s">
        <v>26</v>
      </c>
      <c r="K919" t="s">
        <v>86</v>
      </c>
      <c r="L919" t="b">
        <v>1</v>
      </c>
      <c r="M919" t="s">
        <v>4513</v>
      </c>
      <c r="N919" t="str">
        <f>"340.59"</f>
        <v>340.59</v>
      </c>
      <c r="P919" t="b">
        <v>0</v>
      </c>
      <c r="Q919" t="b">
        <v>0</v>
      </c>
      <c r="R919" t="str">
        <f>"9781851683932"</f>
        <v>9781851683932</v>
      </c>
      <c r="S919" t="str">
        <f>"9781780746869"</f>
        <v>9781780746869</v>
      </c>
      <c r="T919">
        <v>891446128</v>
      </c>
    </row>
    <row r="920" spans="1:20" x14ac:dyDescent="0.25">
      <c r="A920">
        <v>910841</v>
      </c>
      <c r="B920" t="s">
        <v>4514</v>
      </c>
      <c r="C920" t="s">
        <v>2054</v>
      </c>
      <c r="D920" t="s">
        <v>131</v>
      </c>
      <c r="E920" t="s">
        <v>552</v>
      </c>
      <c r="F920">
        <v>2012</v>
      </c>
      <c r="G920" t="s">
        <v>4515</v>
      </c>
      <c r="H920" t="s">
        <v>4516</v>
      </c>
      <c r="I920" t="s">
        <v>4517</v>
      </c>
      <c r="J920" t="s">
        <v>26</v>
      </c>
      <c r="K920" t="s">
        <v>48</v>
      </c>
      <c r="L920" t="b">
        <v>1</v>
      </c>
      <c r="M920" t="s">
        <v>4518</v>
      </c>
      <c r="N920" t="str">
        <f>"189"</f>
        <v>189</v>
      </c>
      <c r="O920" t="s">
        <v>562</v>
      </c>
      <c r="P920" t="b">
        <v>0</v>
      </c>
      <c r="Q920" t="b">
        <v>0</v>
      </c>
      <c r="R920" t="str">
        <f>"9781851685783"</f>
        <v>9781851685783</v>
      </c>
      <c r="S920" t="str">
        <f>"9781780741680"</f>
        <v>9781780741680</v>
      </c>
      <c r="T920">
        <v>889909032</v>
      </c>
    </row>
    <row r="921" spans="1:20" x14ac:dyDescent="0.25">
      <c r="A921">
        <v>910840</v>
      </c>
      <c r="B921" t="s">
        <v>4519</v>
      </c>
      <c r="C921" t="s">
        <v>2054</v>
      </c>
      <c r="D921" t="s">
        <v>131</v>
      </c>
      <c r="E921" t="s">
        <v>552</v>
      </c>
      <c r="F921">
        <v>2012</v>
      </c>
      <c r="G921" t="s">
        <v>4520</v>
      </c>
      <c r="H921" t="s">
        <v>4521</v>
      </c>
      <c r="I921" t="s">
        <v>4522</v>
      </c>
      <c r="J921" t="s">
        <v>26</v>
      </c>
      <c r="K921" t="s">
        <v>48</v>
      </c>
      <c r="L921" t="b">
        <v>1</v>
      </c>
      <c r="M921" t="s">
        <v>4523</v>
      </c>
      <c r="N921" t="str">
        <f>"150.195092"</f>
        <v>150.195092</v>
      </c>
      <c r="O921" t="s">
        <v>568</v>
      </c>
      <c r="P921" t="b">
        <v>0</v>
      </c>
      <c r="Q921" t="b">
        <v>0</v>
      </c>
      <c r="R921" t="str">
        <f>"9781851686377"</f>
        <v>9781851686377</v>
      </c>
      <c r="S921" t="str">
        <f>"9781780741628"</f>
        <v>9781780741628</v>
      </c>
      <c r="T921">
        <v>881683718</v>
      </c>
    </row>
    <row r="922" spans="1:20" x14ac:dyDescent="0.25">
      <c r="A922">
        <v>910838</v>
      </c>
      <c r="B922" t="s">
        <v>4524</v>
      </c>
      <c r="C922" t="s">
        <v>2054</v>
      </c>
      <c r="D922" t="s">
        <v>131</v>
      </c>
      <c r="E922" t="s">
        <v>552</v>
      </c>
      <c r="F922">
        <v>2008</v>
      </c>
      <c r="G922" t="s">
        <v>248</v>
      </c>
      <c r="H922" t="s">
        <v>4525</v>
      </c>
      <c r="I922" t="s">
        <v>4526</v>
      </c>
      <c r="J922" t="s">
        <v>26</v>
      </c>
      <c r="K922" t="s">
        <v>48</v>
      </c>
      <c r="L922" t="b">
        <v>1</v>
      </c>
      <c r="M922" t="s">
        <v>4527</v>
      </c>
      <c r="N922" t="str">
        <f>"305.8"</f>
        <v>305.8</v>
      </c>
      <c r="O922" t="s">
        <v>4528</v>
      </c>
      <c r="P922" t="b">
        <v>0</v>
      </c>
      <c r="Q922" t="b">
        <v>0</v>
      </c>
      <c r="R922" t="str">
        <f>"9781851685431"</f>
        <v>9781851685431</v>
      </c>
      <c r="S922" t="str">
        <f>"9781780741765"</f>
        <v>9781780741765</v>
      </c>
      <c r="T922">
        <v>773039026</v>
      </c>
    </row>
    <row r="923" spans="1:20" x14ac:dyDescent="0.25">
      <c r="A923">
        <v>910831</v>
      </c>
      <c r="B923" t="s">
        <v>4529</v>
      </c>
      <c r="C923" t="s">
        <v>2054</v>
      </c>
      <c r="D923" t="s">
        <v>131</v>
      </c>
      <c r="E923" t="s">
        <v>552</v>
      </c>
      <c r="F923">
        <v>2012</v>
      </c>
      <c r="G923" t="s">
        <v>4530</v>
      </c>
      <c r="H923" t="s">
        <v>4531</v>
      </c>
      <c r="I923" t="s">
        <v>4532</v>
      </c>
      <c r="J923" t="s">
        <v>26</v>
      </c>
      <c r="K923" t="s">
        <v>48</v>
      </c>
      <c r="L923" t="b">
        <v>1</v>
      </c>
      <c r="M923" t="s">
        <v>4533</v>
      </c>
      <c r="N923" t="str">
        <f>"100"</f>
        <v>100</v>
      </c>
      <c r="O923" t="s">
        <v>4528</v>
      </c>
      <c r="P923" t="b">
        <v>0</v>
      </c>
      <c r="Q923" t="b">
        <v>0</v>
      </c>
      <c r="R923" t="str">
        <f>"9781851689378"</f>
        <v>9781851689378</v>
      </c>
      <c r="S923" t="str">
        <f>"9781780741161"</f>
        <v>9781780741161</v>
      </c>
      <c r="T923">
        <v>852485948</v>
      </c>
    </row>
    <row r="924" spans="1:20" x14ac:dyDescent="0.25">
      <c r="A924">
        <v>910829</v>
      </c>
      <c r="B924" t="s">
        <v>4534</v>
      </c>
      <c r="C924" t="s">
        <v>2054</v>
      </c>
      <c r="D924" t="s">
        <v>131</v>
      </c>
      <c r="E924" t="s">
        <v>552</v>
      </c>
      <c r="F924">
        <v>2012</v>
      </c>
      <c r="G924" t="s">
        <v>109</v>
      </c>
      <c r="H924" t="s">
        <v>4535</v>
      </c>
      <c r="I924" t="s">
        <v>4536</v>
      </c>
      <c r="J924" t="s">
        <v>26</v>
      </c>
      <c r="K924" t="s">
        <v>48</v>
      </c>
      <c r="L924" t="b">
        <v>1</v>
      </c>
      <c r="M924" t="s">
        <v>4537</v>
      </c>
      <c r="N924" t="str">
        <f>"550"</f>
        <v>550</v>
      </c>
      <c r="O924" t="s">
        <v>4538</v>
      </c>
      <c r="P924" t="b">
        <v>0</v>
      </c>
      <c r="Q924" t="b">
        <v>0</v>
      </c>
      <c r="R924" t="str">
        <f>"9781851688289"</f>
        <v>9781851688289</v>
      </c>
      <c r="S924" t="str">
        <f>"9781780740423"</f>
        <v>9781780740423</v>
      </c>
      <c r="T924">
        <v>891448702</v>
      </c>
    </row>
    <row r="925" spans="1:20" x14ac:dyDescent="0.25">
      <c r="A925">
        <v>910825</v>
      </c>
      <c r="B925" t="s">
        <v>4539</v>
      </c>
      <c r="C925" t="s">
        <v>2054</v>
      </c>
      <c r="D925" t="s">
        <v>131</v>
      </c>
      <c r="E925" t="s">
        <v>552</v>
      </c>
      <c r="F925">
        <v>2012</v>
      </c>
      <c r="G925" t="s">
        <v>4282</v>
      </c>
      <c r="H925" t="s">
        <v>4540</v>
      </c>
      <c r="I925" t="s">
        <v>4541</v>
      </c>
      <c r="J925" t="s">
        <v>26</v>
      </c>
      <c r="K925" t="s">
        <v>48</v>
      </c>
      <c r="L925" t="b">
        <v>1</v>
      </c>
      <c r="M925" t="s">
        <v>4542</v>
      </c>
      <c r="N925" t="str">
        <f>"501"</f>
        <v>501</v>
      </c>
      <c r="O925" t="s">
        <v>562</v>
      </c>
      <c r="P925" t="b">
        <v>0</v>
      </c>
      <c r="Q925" t="b">
        <v>0</v>
      </c>
      <c r="R925" t="str">
        <f>"9781851686841"</f>
        <v>9781851686841</v>
      </c>
      <c r="S925" t="str">
        <f>"9781780741758"</f>
        <v>9781780741758</v>
      </c>
      <c r="T925">
        <v>889908812</v>
      </c>
    </row>
    <row r="926" spans="1:20" x14ac:dyDescent="0.25">
      <c r="A926">
        <v>910798</v>
      </c>
      <c r="B926" t="s">
        <v>4543</v>
      </c>
      <c r="C926" t="s">
        <v>2054</v>
      </c>
      <c r="D926" t="s">
        <v>131</v>
      </c>
      <c r="E926" t="s">
        <v>552</v>
      </c>
      <c r="F926">
        <v>2014</v>
      </c>
      <c r="G926" t="s">
        <v>2103</v>
      </c>
      <c r="H926" t="s">
        <v>4544</v>
      </c>
      <c r="I926" t="s">
        <v>4545</v>
      </c>
      <c r="J926" t="s">
        <v>26</v>
      </c>
      <c r="K926" t="s">
        <v>48</v>
      </c>
      <c r="L926" t="b">
        <v>1</v>
      </c>
      <c r="M926" t="s">
        <v>4546</v>
      </c>
      <c r="N926" t="str">
        <f>"610.9"</f>
        <v>610.9</v>
      </c>
      <c r="O926" t="s">
        <v>4538</v>
      </c>
      <c r="P926" t="b">
        <v>0</v>
      </c>
      <c r="Q926" t="b">
        <v>0</v>
      </c>
      <c r="R926" t="str">
        <f>"9781780745206"</f>
        <v>9781780745206</v>
      </c>
      <c r="S926" t="str">
        <f>"9781780745275"</f>
        <v>9781780745275</v>
      </c>
      <c r="T926">
        <v>890529695</v>
      </c>
    </row>
    <row r="927" spans="1:20" x14ac:dyDescent="0.25">
      <c r="A927">
        <v>910793</v>
      </c>
      <c r="B927" t="s">
        <v>4547</v>
      </c>
      <c r="D927" t="s">
        <v>131</v>
      </c>
      <c r="E927" t="s">
        <v>552</v>
      </c>
      <c r="F927">
        <v>2012</v>
      </c>
      <c r="G927" t="s">
        <v>4548</v>
      </c>
      <c r="H927" t="s">
        <v>4549</v>
      </c>
      <c r="I927" t="s">
        <v>4550</v>
      </c>
      <c r="J927" t="s">
        <v>26</v>
      </c>
      <c r="K927" t="s">
        <v>48</v>
      </c>
      <c r="L927" t="b">
        <v>1</v>
      </c>
      <c r="M927" t="s">
        <v>4551</v>
      </c>
      <c r="N927" t="str">
        <f>"811.5"</f>
        <v>811.5</v>
      </c>
      <c r="P927" t="b">
        <v>0</v>
      </c>
      <c r="Q927" t="b">
        <v>0</v>
      </c>
      <c r="R927" t="str">
        <f>"9781851689453"</f>
        <v>9781851689453</v>
      </c>
      <c r="S927" t="str">
        <f>"9781780742151"</f>
        <v>9781780742151</v>
      </c>
      <c r="T927">
        <v>889930688</v>
      </c>
    </row>
    <row r="928" spans="1:20" x14ac:dyDescent="0.25">
      <c r="A928">
        <v>910790</v>
      </c>
      <c r="B928" t="s">
        <v>4552</v>
      </c>
      <c r="C928" t="s">
        <v>4553</v>
      </c>
      <c r="D928" t="s">
        <v>131</v>
      </c>
      <c r="E928" t="s">
        <v>552</v>
      </c>
      <c r="F928">
        <v>2007</v>
      </c>
      <c r="G928" t="s">
        <v>2061</v>
      </c>
      <c r="H928" t="s">
        <v>4554</v>
      </c>
      <c r="I928" t="s">
        <v>4555</v>
      </c>
      <c r="J928" t="s">
        <v>26</v>
      </c>
      <c r="K928" t="s">
        <v>48</v>
      </c>
      <c r="L928" t="b">
        <v>1</v>
      </c>
      <c r="M928" t="s">
        <v>4556</v>
      </c>
      <c r="N928" t="str">
        <f>"891.5511"</f>
        <v>891.5511</v>
      </c>
      <c r="P928" t="b">
        <v>0</v>
      </c>
      <c r="Q928" t="b">
        <v>0</v>
      </c>
      <c r="R928" t="str">
        <f>"9781851685042"</f>
        <v>9781851685042</v>
      </c>
      <c r="S928" t="str">
        <f>"9781780744742"</f>
        <v>9781780744742</v>
      </c>
      <c r="T928">
        <v>890932800</v>
      </c>
    </row>
    <row r="929" spans="1:20" x14ac:dyDescent="0.25">
      <c r="A929">
        <v>910782</v>
      </c>
      <c r="B929" t="s">
        <v>4557</v>
      </c>
      <c r="C929" t="s">
        <v>2054</v>
      </c>
      <c r="D929" t="s">
        <v>131</v>
      </c>
      <c r="E929" t="s">
        <v>552</v>
      </c>
      <c r="F929">
        <v>2014</v>
      </c>
      <c r="G929" t="s">
        <v>4558</v>
      </c>
      <c r="H929" t="s">
        <v>4559</v>
      </c>
      <c r="I929" t="s">
        <v>4560</v>
      </c>
      <c r="J929" t="s">
        <v>26</v>
      </c>
      <c r="K929" t="s">
        <v>48</v>
      </c>
      <c r="L929" t="b">
        <v>1</v>
      </c>
      <c r="M929" t="s">
        <v>4561</v>
      </c>
      <c r="N929" t="str">
        <f>"327"</f>
        <v>327</v>
      </c>
      <c r="O929" t="s">
        <v>568</v>
      </c>
      <c r="P929" t="b">
        <v>0</v>
      </c>
      <c r="Q929" t="b">
        <v>0</v>
      </c>
      <c r="R929" t="str">
        <f>"9781780743035"</f>
        <v>9781780743035</v>
      </c>
      <c r="S929" t="str">
        <f>"9781780743042"</f>
        <v>9781780743042</v>
      </c>
      <c r="T929">
        <v>893487254</v>
      </c>
    </row>
    <row r="930" spans="1:20" x14ac:dyDescent="0.25">
      <c r="A930">
        <v>910747</v>
      </c>
      <c r="B930" t="s">
        <v>4562</v>
      </c>
      <c r="C930" t="s">
        <v>2054</v>
      </c>
      <c r="D930" t="s">
        <v>131</v>
      </c>
      <c r="E930" t="s">
        <v>552</v>
      </c>
      <c r="F930">
        <v>2012</v>
      </c>
      <c r="G930" t="s">
        <v>546</v>
      </c>
      <c r="H930" t="s">
        <v>4563</v>
      </c>
      <c r="J930" t="s">
        <v>26</v>
      </c>
      <c r="K930" t="s">
        <v>48</v>
      </c>
      <c r="L930" t="b">
        <v>1</v>
      </c>
      <c r="M930" t="s">
        <v>4564</v>
      </c>
      <c r="N930" t="str">
        <f>"823/.912"</f>
        <v>823/.912</v>
      </c>
      <c r="O930" t="s">
        <v>4528</v>
      </c>
      <c r="P930" t="b">
        <v>0</v>
      </c>
      <c r="Q930" t="b">
        <v>0</v>
      </c>
      <c r="R930" t="str">
        <f>"9781851689231"</f>
        <v>9781851689231</v>
      </c>
      <c r="S930" t="str">
        <f>"9781780740805"</f>
        <v>9781780740805</v>
      </c>
      <c r="T930">
        <v>880573949</v>
      </c>
    </row>
    <row r="931" spans="1:20" x14ac:dyDescent="0.25">
      <c r="A931">
        <v>910745</v>
      </c>
      <c r="B931" t="s">
        <v>4565</v>
      </c>
      <c r="C931" t="s">
        <v>2054</v>
      </c>
      <c r="D931" t="s">
        <v>131</v>
      </c>
      <c r="E931" t="s">
        <v>552</v>
      </c>
      <c r="F931">
        <v>2013</v>
      </c>
      <c r="G931" t="s">
        <v>4566</v>
      </c>
      <c r="H931" t="s">
        <v>4567</v>
      </c>
      <c r="I931" t="s">
        <v>4568</v>
      </c>
      <c r="J931" t="s">
        <v>26</v>
      </c>
      <c r="K931" t="s">
        <v>48</v>
      </c>
      <c r="L931" t="b">
        <v>1</v>
      </c>
      <c r="M931" t="s">
        <v>4569</v>
      </c>
      <c r="N931" t="str">
        <f>"883/.01"</f>
        <v>883/.01</v>
      </c>
      <c r="P931" t="b">
        <v>0</v>
      </c>
      <c r="Q931" t="b">
        <v>0</v>
      </c>
      <c r="R931" t="str">
        <f>"9781780742298"</f>
        <v>9781780742298</v>
      </c>
      <c r="S931" t="str">
        <f>"9781780742380"</f>
        <v>9781780742380</v>
      </c>
      <c r="T931">
        <v>852483783</v>
      </c>
    </row>
    <row r="932" spans="1:20" x14ac:dyDescent="0.25">
      <c r="A932">
        <v>910739</v>
      </c>
      <c r="B932" t="s">
        <v>4570</v>
      </c>
      <c r="C932" t="s">
        <v>2054</v>
      </c>
      <c r="D932" t="s">
        <v>131</v>
      </c>
      <c r="E932" t="s">
        <v>552</v>
      </c>
      <c r="F932">
        <v>2013</v>
      </c>
      <c r="G932" t="s">
        <v>4010</v>
      </c>
      <c r="H932" t="s">
        <v>4571</v>
      </c>
      <c r="I932" t="s">
        <v>4572</v>
      </c>
      <c r="J932" t="s">
        <v>26</v>
      </c>
      <c r="K932" t="s">
        <v>48</v>
      </c>
      <c r="L932" t="b">
        <v>1</v>
      </c>
      <c r="M932" t="s">
        <v>4573</v>
      </c>
      <c r="N932" t="str">
        <f>"305.42"</f>
        <v>305.42</v>
      </c>
      <c r="O932" t="s">
        <v>568</v>
      </c>
      <c r="P932" t="b">
        <v>0</v>
      </c>
      <c r="Q932" t="b">
        <v>0</v>
      </c>
      <c r="R932" t="str">
        <f>"9781851687121"</f>
        <v>9781851687121</v>
      </c>
      <c r="S932" t="str">
        <f>"9781780741550"</f>
        <v>9781780741550</v>
      </c>
      <c r="T932">
        <v>870304051</v>
      </c>
    </row>
    <row r="933" spans="1:20" x14ac:dyDescent="0.25">
      <c r="A933">
        <v>910736</v>
      </c>
      <c r="B933" t="s">
        <v>4574</v>
      </c>
      <c r="C933" t="s">
        <v>2054</v>
      </c>
      <c r="D933" t="s">
        <v>131</v>
      </c>
      <c r="E933" t="s">
        <v>552</v>
      </c>
      <c r="F933">
        <v>2012</v>
      </c>
      <c r="G933" t="s">
        <v>334</v>
      </c>
      <c r="H933" t="s">
        <v>4575</v>
      </c>
      <c r="I933" t="s">
        <v>4576</v>
      </c>
      <c r="J933" t="s">
        <v>26</v>
      </c>
      <c r="K933" t="s">
        <v>48</v>
      </c>
      <c r="L933" t="b">
        <v>1</v>
      </c>
      <c r="M933" t="s">
        <v>4577</v>
      </c>
      <c r="N933" t="str">
        <f>"620"</f>
        <v>620</v>
      </c>
      <c r="O933" t="s">
        <v>4538</v>
      </c>
      <c r="P933" t="b">
        <v>0</v>
      </c>
      <c r="Q933" t="b">
        <v>0</v>
      </c>
      <c r="R933" t="str">
        <f>"9781851686629"</f>
        <v>9781851686629</v>
      </c>
      <c r="S933" t="str">
        <f>"9781780741529"</f>
        <v>9781780741529</v>
      </c>
      <c r="T933">
        <v>891448814</v>
      </c>
    </row>
    <row r="934" spans="1:20" x14ac:dyDescent="0.25">
      <c r="A934">
        <v>910733</v>
      </c>
      <c r="B934" t="s">
        <v>4578</v>
      </c>
      <c r="C934" t="s">
        <v>2054</v>
      </c>
      <c r="D934" t="s">
        <v>131</v>
      </c>
      <c r="E934" t="s">
        <v>552</v>
      </c>
      <c r="F934">
        <v>2010</v>
      </c>
      <c r="G934" t="s">
        <v>4579</v>
      </c>
      <c r="H934" t="s">
        <v>4580</v>
      </c>
      <c r="J934" t="s">
        <v>26</v>
      </c>
      <c r="K934" t="s">
        <v>86</v>
      </c>
      <c r="L934" t="b">
        <v>1</v>
      </c>
      <c r="M934" t="s">
        <v>4581</v>
      </c>
      <c r="N934" t="str">
        <f>"194"</f>
        <v>194</v>
      </c>
      <c r="O934" t="s">
        <v>568</v>
      </c>
      <c r="P934" t="b">
        <v>0</v>
      </c>
      <c r="Q934" t="b">
        <v>0</v>
      </c>
      <c r="R934" t="str">
        <f>"9781851687589"</f>
        <v>9781851687589</v>
      </c>
      <c r="S934" t="str">
        <f>"9781780741499"</f>
        <v>9781780741499</v>
      </c>
      <c r="T934">
        <v>871068701</v>
      </c>
    </row>
    <row r="935" spans="1:20" x14ac:dyDescent="0.25">
      <c r="A935">
        <v>910732</v>
      </c>
      <c r="B935" t="s">
        <v>4582</v>
      </c>
      <c r="C935" t="s">
        <v>2054</v>
      </c>
      <c r="D935" t="s">
        <v>131</v>
      </c>
      <c r="E935" t="s">
        <v>552</v>
      </c>
      <c r="F935">
        <v>2012</v>
      </c>
      <c r="G935" t="s">
        <v>4579</v>
      </c>
      <c r="H935" t="s">
        <v>4583</v>
      </c>
      <c r="I935" t="s">
        <v>4584</v>
      </c>
      <c r="J935" t="s">
        <v>26</v>
      </c>
      <c r="K935" t="s">
        <v>48</v>
      </c>
      <c r="L935" t="b">
        <v>1</v>
      </c>
      <c r="M935" t="s">
        <v>4518</v>
      </c>
      <c r="N935" t="str">
        <f>"160"</f>
        <v>160</v>
      </c>
      <c r="O935" t="s">
        <v>562</v>
      </c>
      <c r="P935" t="b">
        <v>0</v>
      </c>
      <c r="Q935" t="b">
        <v>0</v>
      </c>
      <c r="R935" t="str">
        <f>"9781851686544"</f>
        <v>9781851686544</v>
      </c>
      <c r="S935" t="str">
        <f>"9781780741475"</f>
        <v>9781780741475</v>
      </c>
      <c r="T935">
        <v>889908948</v>
      </c>
    </row>
    <row r="936" spans="1:20" x14ac:dyDescent="0.25">
      <c r="A936">
        <v>910730</v>
      </c>
      <c r="B936" t="s">
        <v>4585</v>
      </c>
      <c r="C936" t="s">
        <v>2054</v>
      </c>
      <c r="D936" t="s">
        <v>131</v>
      </c>
      <c r="E936" t="s">
        <v>552</v>
      </c>
      <c r="F936">
        <v>2008</v>
      </c>
      <c r="G936" t="s">
        <v>3748</v>
      </c>
      <c r="H936" t="s">
        <v>4586</v>
      </c>
      <c r="I936" t="s">
        <v>4587</v>
      </c>
      <c r="J936" t="s">
        <v>26</v>
      </c>
      <c r="K936" t="s">
        <v>48</v>
      </c>
      <c r="L936" t="b">
        <v>1</v>
      </c>
      <c r="M936" t="s">
        <v>4588</v>
      </c>
      <c r="N936" t="str">
        <f>"323"</f>
        <v>323</v>
      </c>
      <c r="O936" t="s">
        <v>568</v>
      </c>
      <c r="P936" t="b">
        <v>0</v>
      </c>
      <c r="Q936" t="b">
        <v>0</v>
      </c>
      <c r="R936" t="str">
        <f>"9781851686018"</f>
        <v>9781851686018</v>
      </c>
      <c r="S936" t="str">
        <f>"9781780741468"</f>
        <v>9781780741468</v>
      </c>
      <c r="T936">
        <v>852482599</v>
      </c>
    </row>
    <row r="937" spans="1:20" x14ac:dyDescent="0.25">
      <c r="A937">
        <v>910727</v>
      </c>
      <c r="B937" t="s">
        <v>4589</v>
      </c>
      <c r="C937" t="s">
        <v>2054</v>
      </c>
      <c r="D937" t="s">
        <v>131</v>
      </c>
      <c r="E937" t="s">
        <v>552</v>
      </c>
      <c r="F937">
        <v>2010</v>
      </c>
      <c r="G937" t="s">
        <v>1094</v>
      </c>
      <c r="H937" t="s">
        <v>4590</v>
      </c>
      <c r="I937" t="s">
        <v>4591</v>
      </c>
      <c r="J937" t="s">
        <v>26</v>
      </c>
      <c r="K937" t="s">
        <v>48</v>
      </c>
      <c r="L937" t="b">
        <v>1</v>
      </c>
      <c r="M937" t="s">
        <v>4592</v>
      </c>
      <c r="N937" t="str">
        <f>"363.73874"</f>
        <v>363.73874</v>
      </c>
      <c r="O937" t="s">
        <v>568</v>
      </c>
      <c r="P937" t="b">
        <v>0</v>
      </c>
      <c r="Q937" t="b">
        <v>0</v>
      </c>
      <c r="R937" t="str">
        <f>"9781851686605"</f>
        <v>9781851686605</v>
      </c>
      <c r="S937" t="str">
        <f>"9781780741420"</f>
        <v>9781780741420</v>
      </c>
      <c r="T937">
        <v>893521982</v>
      </c>
    </row>
    <row r="938" spans="1:20" x14ac:dyDescent="0.25">
      <c r="A938">
        <v>910705</v>
      </c>
      <c r="B938" t="s">
        <v>4593</v>
      </c>
      <c r="D938" t="s">
        <v>131</v>
      </c>
      <c r="E938" t="s">
        <v>552</v>
      </c>
      <c r="F938">
        <v>2013</v>
      </c>
      <c r="G938" t="s">
        <v>1879</v>
      </c>
      <c r="H938" t="s">
        <v>4594</v>
      </c>
      <c r="I938" t="s">
        <v>4595</v>
      </c>
      <c r="J938" t="s">
        <v>26</v>
      </c>
      <c r="K938" t="s">
        <v>48</v>
      </c>
      <c r="L938" t="b">
        <v>1</v>
      </c>
      <c r="M938" t="s">
        <v>4596</v>
      </c>
      <c r="N938" t="str">
        <f>"823/.92"</f>
        <v>823/.92</v>
      </c>
      <c r="P938" t="b">
        <v>1</v>
      </c>
      <c r="Q938" t="b">
        <v>0</v>
      </c>
      <c r="R938" t="str">
        <f>"9781780742410"</f>
        <v>9781780742410</v>
      </c>
      <c r="S938" t="str">
        <f>"9781780742427"</f>
        <v>9781780742427</v>
      </c>
      <c r="T938">
        <v>887808856</v>
      </c>
    </row>
    <row r="939" spans="1:20" x14ac:dyDescent="0.25">
      <c r="A939">
        <v>910700</v>
      </c>
      <c r="B939" t="s">
        <v>4597</v>
      </c>
      <c r="D939" t="s">
        <v>131</v>
      </c>
      <c r="E939" t="s">
        <v>669</v>
      </c>
      <c r="F939">
        <v>2011</v>
      </c>
      <c r="G939" t="s">
        <v>1130</v>
      </c>
      <c r="H939" t="s">
        <v>4598</v>
      </c>
      <c r="I939" t="s">
        <v>4599</v>
      </c>
      <c r="J939" t="s">
        <v>26</v>
      </c>
      <c r="K939" t="s">
        <v>48</v>
      </c>
      <c r="L939" t="b">
        <v>1</v>
      </c>
      <c r="M939" t="s">
        <v>4600</v>
      </c>
      <c r="N939" t="str">
        <f>"822.33"</f>
        <v>822.33</v>
      </c>
      <c r="O939" t="s">
        <v>562</v>
      </c>
      <c r="P939" t="b">
        <v>1</v>
      </c>
      <c r="Q939" t="b">
        <v>0</v>
      </c>
      <c r="R939" t="str">
        <f>"9781849431262"</f>
        <v>9781849431262</v>
      </c>
      <c r="S939" t="str">
        <f>"9781849435352"</f>
        <v>9781849435352</v>
      </c>
      <c r="T939">
        <v>889908899</v>
      </c>
    </row>
    <row r="940" spans="1:20" x14ac:dyDescent="0.25">
      <c r="A940">
        <v>910697</v>
      </c>
      <c r="B940" t="s">
        <v>4601</v>
      </c>
      <c r="C940" t="s">
        <v>2054</v>
      </c>
      <c r="D940" t="s">
        <v>131</v>
      </c>
      <c r="E940" t="s">
        <v>552</v>
      </c>
      <c r="F940">
        <v>2013</v>
      </c>
      <c r="G940" t="s">
        <v>558</v>
      </c>
      <c r="H940" t="s">
        <v>4602</v>
      </c>
      <c r="J940" t="s">
        <v>26</v>
      </c>
      <c r="K940" t="s">
        <v>48</v>
      </c>
      <c r="L940" t="b">
        <v>1</v>
      </c>
      <c r="M940" t="s">
        <v>4603</v>
      </c>
      <c r="N940" t="str">
        <f>"955"</f>
        <v>955</v>
      </c>
      <c r="P940" t="b">
        <v>0</v>
      </c>
      <c r="Q940" t="b">
        <v>0</v>
      </c>
      <c r="R940" t="str">
        <f>"9781780742724"</f>
        <v>9781780742724</v>
      </c>
      <c r="S940" t="str">
        <f>"9781780742731"</f>
        <v>9781780742731</v>
      </c>
      <c r="T940">
        <v>852484487</v>
      </c>
    </row>
    <row r="941" spans="1:20" x14ac:dyDescent="0.25">
      <c r="A941">
        <v>910688</v>
      </c>
      <c r="B941" t="s">
        <v>4604</v>
      </c>
      <c r="C941" t="s">
        <v>2054</v>
      </c>
      <c r="D941" t="s">
        <v>131</v>
      </c>
      <c r="E941" t="s">
        <v>552</v>
      </c>
      <c r="F941">
        <v>2011</v>
      </c>
      <c r="G941" t="s">
        <v>2460</v>
      </c>
      <c r="H941" t="s">
        <v>4605</v>
      </c>
      <c r="I941" t="s">
        <v>4517</v>
      </c>
      <c r="J941" t="s">
        <v>26</v>
      </c>
      <c r="K941" t="s">
        <v>48</v>
      </c>
      <c r="L941" t="b">
        <v>1</v>
      </c>
      <c r="M941" t="s">
        <v>4606</v>
      </c>
      <c r="N941" t="str">
        <f>"189.4"</f>
        <v>189.4</v>
      </c>
      <c r="P941" t="b">
        <v>0</v>
      </c>
      <c r="Q941" t="b">
        <v>0</v>
      </c>
      <c r="R941" t="str">
        <f>"9781851686902"</f>
        <v>9781851686902</v>
      </c>
      <c r="S941" t="str">
        <f>"9781780740065"</f>
        <v>9781780740065</v>
      </c>
      <c r="T941">
        <v>875272963</v>
      </c>
    </row>
    <row r="942" spans="1:20" x14ac:dyDescent="0.25">
      <c r="A942">
        <v>910683</v>
      </c>
      <c r="B942" t="s">
        <v>4607</v>
      </c>
      <c r="C942" t="s">
        <v>2054</v>
      </c>
      <c r="D942" t="s">
        <v>131</v>
      </c>
      <c r="E942" t="s">
        <v>552</v>
      </c>
      <c r="F942">
        <v>2011</v>
      </c>
      <c r="G942" t="s">
        <v>4608</v>
      </c>
      <c r="H942" t="s">
        <v>4609</v>
      </c>
      <c r="J942" t="s">
        <v>26</v>
      </c>
      <c r="K942" t="s">
        <v>48</v>
      </c>
      <c r="L942" t="b">
        <v>1</v>
      </c>
      <c r="M942" t="s">
        <v>4610</v>
      </c>
      <c r="N942" t="str">
        <f>"222.1061"</f>
        <v>222.1061</v>
      </c>
      <c r="O942" t="s">
        <v>2120</v>
      </c>
      <c r="P942" t="b">
        <v>0</v>
      </c>
      <c r="Q942" t="b">
        <v>0</v>
      </c>
      <c r="R942" t="str">
        <f>"9781851688548"</f>
        <v>9781851688548</v>
      </c>
      <c r="S942" t="str">
        <f>"9781780740942"</f>
        <v>9781780740942</v>
      </c>
      <c r="T942">
        <v>852472753</v>
      </c>
    </row>
    <row r="943" spans="1:20" x14ac:dyDescent="0.25">
      <c r="A943">
        <v>910671</v>
      </c>
      <c r="B943" t="s">
        <v>4611</v>
      </c>
      <c r="D943" t="s">
        <v>131</v>
      </c>
      <c r="E943" t="s">
        <v>552</v>
      </c>
      <c r="F943">
        <v>2002</v>
      </c>
      <c r="G943" t="s">
        <v>4612</v>
      </c>
      <c r="H943" t="s">
        <v>4613</v>
      </c>
      <c r="J943" t="s">
        <v>26</v>
      </c>
      <c r="K943" t="s">
        <v>48</v>
      </c>
      <c r="L943" t="b">
        <v>1</v>
      </c>
      <c r="M943" t="s">
        <v>4614</v>
      </c>
      <c r="N943" t="str">
        <f>"192"</f>
        <v>192</v>
      </c>
      <c r="O943" t="s">
        <v>4615</v>
      </c>
      <c r="P943" t="b">
        <v>0</v>
      </c>
      <c r="Q943" t="b">
        <v>0</v>
      </c>
      <c r="R943" t="str">
        <f>"9781851684861"</f>
        <v>9781851684861</v>
      </c>
      <c r="S943" t="str">
        <f>"9781780744759"</f>
        <v>9781780744759</v>
      </c>
      <c r="T943">
        <v>890932514</v>
      </c>
    </row>
    <row r="944" spans="1:20" x14ac:dyDescent="0.25">
      <c r="A944">
        <v>910659</v>
      </c>
      <c r="B944" t="s">
        <v>4616</v>
      </c>
      <c r="C944" t="s">
        <v>2054</v>
      </c>
      <c r="D944" t="s">
        <v>131</v>
      </c>
      <c r="E944" t="s">
        <v>552</v>
      </c>
      <c r="F944">
        <v>2012</v>
      </c>
      <c r="G944" t="s">
        <v>4617</v>
      </c>
      <c r="H944" t="s">
        <v>4618</v>
      </c>
      <c r="I944" t="s">
        <v>4619</v>
      </c>
      <c r="J944" t="s">
        <v>26</v>
      </c>
      <c r="K944" t="s">
        <v>48</v>
      </c>
      <c r="L944" t="b">
        <v>1</v>
      </c>
      <c r="M944" t="s">
        <v>4620</v>
      </c>
      <c r="N944" t="str">
        <f>"551.21"</f>
        <v>551.21</v>
      </c>
      <c r="O944" t="s">
        <v>4538</v>
      </c>
      <c r="P944" t="b">
        <v>0</v>
      </c>
      <c r="Q944" t="b">
        <v>0</v>
      </c>
      <c r="R944" t="str">
        <f>"9781851687251"</f>
        <v>9781851687251</v>
      </c>
      <c r="S944" t="str">
        <f>"9781780741819"</f>
        <v>9781780741819</v>
      </c>
      <c r="T944">
        <v>891448052</v>
      </c>
    </row>
    <row r="945" spans="1:20" x14ac:dyDescent="0.25">
      <c r="A945">
        <v>910656</v>
      </c>
      <c r="B945" t="s">
        <v>4621</v>
      </c>
      <c r="C945" t="s">
        <v>4622</v>
      </c>
      <c r="D945" t="s">
        <v>131</v>
      </c>
      <c r="E945" t="s">
        <v>552</v>
      </c>
      <c r="F945">
        <v>2014</v>
      </c>
      <c r="G945" t="s">
        <v>2718</v>
      </c>
      <c r="H945" t="s">
        <v>4623</v>
      </c>
      <c r="I945" t="s">
        <v>4624</v>
      </c>
      <c r="J945" t="s">
        <v>26</v>
      </c>
      <c r="K945" t="s">
        <v>48</v>
      </c>
      <c r="L945" t="b">
        <v>1</v>
      </c>
      <c r="M945" t="s">
        <v>4625</v>
      </c>
      <c r="N945" t="str">
        <f>"150.1953"</f>
        <v>150.1953</v>
      </c>
      <c r="P945" t="b">
        <v>0</v>
      </c>
      <c r="Q945" t="b">
        <v>0</v>
      </c>
      <c r="R945" t="str">
        <f>"9781851686674"</f>
        <v>9781851686674</v>
      </c>
      <c r="S945" t="str">
        <f>"9781780744711"</f>
        <v>9781780744711</v>
      </c>
      <c r="T945">
        <v>890980911</v>
      </c>
    </row>
    <row r="946" spans="1:20" x14ac:dyDescent="0.25">
      <c r="A946">
        <v>910638</v>
      </c>
      <c r="B946" t="s">
        <v>4626</v>
      </c>
      <c r="C946" t="s">
        <v>4627</v>
      </c>
      <c r="D946" t="s">
        <v>131</v>
      </c>
      <c r="E946" t="s">
        <v>552</v>
      </c>
      <c r="F946">
        <v>2014</v>
      </c>
      <c r="G946" t="s">
        <v>4628</v>
      </c>
      <c r="H946" t="s">
        <v>4629</v>
      </c>
      <c r="I946" t="s">
        <v>4630</v>
      </c>
      <c r="J946" t="s">
        <v>26</v>
      </c>
      <c r="K946" t="s">
        <v>48</v>
      </c>
      <c r="L946" t="b">
        <v>1</v>
      </c>
      <c r="M946" t="s">
        <v>4631</v>
      </c>
      <c r="N946" t="str">
        <f>"303.48;303.4834"</f>
        <v>303.48;303.4834</v>
      </c>
      <c r="P946" t="b">
        <v>0</v>
      </c>
      <c r="Q946" t="b">
        <v>0</v>
      </c>
      <c r="R946" t="str">
        <f>"9781851685547"</f>
        <v>9781851685547</v>
      </c>
      <c r="S946" t="str">
        <f>"9781780747347"</f>
        <v>9781780747347</v>
      </c>
      <c r="T946">
        <v>891446069</v>
      </c>
    </row>
    <row r="947" spans="1:20" x14ac:dyDescent="0.25">
      <c r="A947">
        <v>910629</v>
      </c>
      <c r="B947" t="s">
        <v>4632</v>
      </c>
      <c r="C947" t="s">
        <v>4633</v>
      </c>
      <c r="D947" t="s">
        <v>131</v>
      </c>
      <c r="E947" t="s">
        <v>552</v>
      </c>
      <c r="F947">
        <v>2009</v>
      </c>
      <c r="G947" t="s">
        <v>4634</v>
      </c>
      <c r="H947" t="s">
        <v>4635</v>
      </c>
      <c r="I947" t="s">
        <v>4636</v>
      </c>
      <c r="J947" t="s">
        <v>26</v>
      </c>
      <c r="K947" t="s">
        <v>48</v>
      </c>
      <c r="L947" t="b">
        <v>1</v>
      </c>
      <c r="M947" t="s">
        <v>4637</v>
      </c>
      <c r="N947" t="str">
        <f>"155.418"</f>
        <v>155.418</v>
      </c>
      <c r="P947" t="b">
        <v>0</v>
      </c>
      <c r="Q947" t="b">
        <v>0</v>
      </c>
      <c r="R947" t="str">
        <f>"9781851687602"</f>
        <v>9781851687602</v>
      </c>
      <c r="S947" t="str">
        <f>"9781780744629"</f>
        <v>9781780744629</v>
      </c>
      <c r="T947">
        <v>890932852</v>
      </c>
    </row>
    <row r="948" spans="1:20" x14ac:dyDescent="0.25">
      <c r="A948">
        <v>910616</v>
      </c>
      <c r="B948" t="s">
        <v>4638</v>
      </c>
      <c r="C948" t="s">
        <v>4639</v>
      </c>
      <c r="D948" t="s">
        <v>131</v>
      </c>
      <c r="E948" t="s">
        <v>552</v>
      </c>
      <c r="F948">
        <v>2014</v>
      </c>
      <c r="G948" t="s">
        <v>4640</v>
      </c>
      <c r="H948" t="s">
        <v>4641</v>
      </c>
      <c r="I948" t="s">
        <v>4642</v>
      </c>
      <c r="J948" t="s">
        <v>26</v>
      </c>
      <c r="K948" t="s">
        <v>48</v>
      </c>
      <c r="L948" t="b">
        <v>1</v>
      </c>
      <c r="M948" t="s">
        <v>4643</v>
      </c>
      <c r="N948" t="str">
        <f>"960"</f>
        <v>960</v>
      </c>
      <c r="P948" t="b">
        <v>0</v>
      </c>
      <c r="Q948" t="b">
        <v>0</v>
      </c>
      <c r="R948" t="str">
        <f>"9781851682737"</f>
        <v>9781851682737</v>
      </c>
      <c r="S948" t="str">
        <f>"9781780746852"</f>
        <v>9781780746852</v>
      </c>
      <c r="T948">
        <v>891446076</v>
      </c>
    </row>
    <row r="949" spans="1:20" x14ac:dyDescent="0.25">
      <c r="A949">
        <v>910614</v>
      </c>
      <c r="B949" t="s">
        <v>4644</v>
      </c>
      <c r="C949" t="s">
        <v>2054</v>
      </c>
      <c r="D949" t="s">
        <v>131</v>
      </c>
      <c r="E949" t="s">
        <v>552</v>
      </c>
      <c r="F949">
        <v>2012</v>
      </c>
      <c r="G949" t="s">
        <v>2061</v>
      </c>
      <c r="H949" t="s">
        <v>4645</v>
      </c>
      <c r="I949" t="s">
        <v>4646</v>
      </c>
      <c r="J949" t="s">
        <v>26</v>
      </c>
      <c r="K949" t="s">
        <v>48</v>
      </c>
      <c r="L949" t="b">
        <v>1</v>
      </c>
      <c r="M949" t="s">
        <v>4647</v>
      </c>
      <c r="N949" t="str">
        <f>"297.576"</f>
        <v>297.576</v>
      </c>
      <c r="O949" t="s">
        <v>562</v>
      </c>
      <c r="P949" t="b">
        <v>0</v>
      </c>
      <c r="Q949" t="b">
        <v>0</v>
      </c>
      <c r="R949" t="str">
        <f>"9781851689286"</f>
        <v>9781851689286</v>
      </c>
      <c r="S949" t="str">
        <f>"9781780740973"</f>
        <v>9781780740973</v>
      </c>
      <c r="T949">
        <v>852252714</v>
      </c>
    </row>
    <row r="950" spans="1:20" x14ac:dyDescent="0.25">
      <c r="A950">
        <v>910602</v>
      </c>
      <c r="B950" t="s">
        <v>4648</v>
      </c>
      <c r="C950" t="s">
        <v>2054</v>
      </c>
      <c r="D950" t="s">
        <v>131</v>
      </c>
      <c r="E950" t="s">
        <v>552</v>
      </c>
      <c r="F950">
        <v>2010</v>
      </c>
      <c r="G950" t="s">
        <v>3705</v>
      </c>
      <c r="H950" t="s">
        <v>4649</v>
      </c>
      <c r="I950" t="s">
        <v>4650</v>
      </c>
      <c r="J950" t="s">
        <v>26</v>
      </c>
      <c r="K950" t="s">
        <v>48</v>
      </c>
      <c r="L950" t="b">
        <v>1</v>
      </c>
      <c r="M950" t="s">
        <v>4651</v>
      </c>
      <c r="N950" t="str">
        <f>"190.9033"</f>
        <v>190.9033</v>
      </c>
      <c r="O950" t="s">
        <v>568</v>
      </c>
      <c r="P950" t="b">
        <v>0</v>
      </c>
      <c r="Q950" t="b">
        <v>0</v>
      </c>
      <c r="R950" t="str">
        <f>"9781851687091"</f>
        <v>9781851687091</v>
      </c>
      <c r="S950" t="str">
        <f>"9781780741536"</f>
        <v>9781780741536</v>
      </c>
      <c r="T950">
        <v>762768011</v>
      </c>
    </row>
    <row r="951" spans="1:20" x14ac:dyDescent="0.25">
      <c r="A951">
        <v>910595</v>
      </c>
      <c r="B951" t="s">
        <v>4652</v>
      </c>
      <c r="D951" t="s">
        <v>131</v>
      </c>
      <c r="E951" t="s">
        <v>552</v>
      </c>
      <c r="F951">
        <v>2014</v>
      </c>
      <c r="G951" t="s">
        <v>1791</v>
      </c>
      <c r="H951" t="s">
        <v>4653</v>
      </c>
      <c r="J951" t="s">
        <v>26</v>
      </c>
      <c r="K951" t="s">
        <v>48</v>
      </c>
      <c r="L951" t="b">
        <v>1</v>
      </c>
      <c r="M951" t="s">
        <v>4654</v>
      </c>
      <c r="N951" t="str">
        <f>"941.085"</f>
        <v>941.085</v>
      </c>
      <c r="P951" t="b">
        <v>0</v>
      </c>
      <c r="Q951" t="b">
        <v>0</v>
      </c>
      <c r="R951" t="str">
        <f>"9781780744056"</f>
        <v>9781780744056</v>
      </c>
      <c r="S951" t="str">
        <f>"9781780746180"</f>
        <v>9781780746180</v>
      </c>
      <c r="T951">
        <v>884745289</v>
      </c>
    </row>
    <row r="952" spans="1:20" x14ac:dyDescent="0.25">
      <c r="A952">
        <v>910591</v>
      </c>
      <c r="B952" t="s">
        <v>4655</v>
      </c>
      <c r="D952" t="s">
        <v>131</v>
      </c>
      <c r="E952" t="s">
        <v>552</v>
      </c>
      <c r="F952">
        <v>2004</v>
      </c>
      <c r="G952" t="s">
        <v>4612</v>
      </c>
      <c r="H952" t="s">
        <v>4656</v>
      </c>
      <c r="I952" t="s">
        <v>4657</v>
      </c>
      <c r="J952" t="s">
        <v>26</v>
      </c>
      <c r="K952" t="s">
        <v>86</v>
      </c>
      <c r="L952" t="b">
        <v>1</v>
      </c>
      <c r="M952" t="s">
        <v>4658</v>
      </c>
      <c r="N952" t="str">
        <f>"199/.492"</f>
        <v>199/.492</v>
      </c>
      <c r="O952" t="s">
        <v>4659</v>
      </c>
      <c r="P952" t="b">
        <v>0</v>
      </c>
      <c r="Q952" t="b">
        <v>0</v>
      </c>
      <c r="R952" t="str">
        <f>"9781851683390"</f>
        <v>9781851683390</v>
      </c>
      <c r="S952" t="str">
        <f>"9781780744698"</f>
        <v>9781780744698</v>
      </c>
      <c r="T952">
        <v>890932853</v>
      </c>
    </row>
    <row r="953" spans="1:20" x14ac:dyDescent="0.25">
      <c r="A953">
        <v>910590</v>
      </c>
      <c r="B953" t="s">
        <v>4660</v>
      </c>
      <c r="C953" t="s">
        <v>4661</v>
      </c>
      <c r="D953" t="s">
        <v>131</v>
      </c>
      <c r="E953" t="s">
        <v>552</v>
      </c>
      <c r="F953">
        <v>2014</v>
      </c>
      <c r="G953" t="s">
        <v>2061</v>
      </c>
      <c r="H953" t="s">
        <v>4662</v>
      </c>
      <c r="I953" t="s">
        <v>4663</v>
      </c>
      <c r="J953" t="s">
        <v>26</v>
      </c>
      <c r="K953" t="s">
        <v>48</v>
      </c>
      <c r="L953" t="b">
        <v>1</v>
      </c>
      <c r="M953" t="s">
        <v>4664</v>
      </c>
      <c r="N953" t="str">
        <f>"305.486971"</f>
        <v>305.486971</v>
      </c>
      <c r="P953" t="b">
        <v>0</v>
      </c>
      <c r="Q953" t="b">
        <v>0</v>
      </c>
      <c r="R953" t="str">
        <f>"9781851682621"</f>
        <v>9781851682621</v>
      </c>
      <c r="S953" t="str">
        <f>"9781780744681"</f>
        <v>9781780744681</v>
      </c>
      <c r="T953">
        <v>891445794</v>
      </c>
    </row>
    <row r="954" spans="1:20" x14ac:dyDescent="0.25">
      <c r="A954">
        <v>910582</v>
      </c>
      <c r="B954" t="s">
        <v>4665</v>
      </c>
      <c r="C954" t="s">
        <v>2054</v>
      </c>
      <c r="D954" t="s">
        <v>131</v>
      </c>
      <c r="E954" t="s">
        <v>552</v>
      </c>
      <c r="F954">
        <v>2010</v>
      </c>
      <c r="G954" t="s">
        <v>2330</v>
      </c>
      <c r="H954" t="s">
        <v>4666</v>
      </c>
      <c r="I954" t="s">
        <v>4667</v>
      </c>
      <c r="J954" t="s">
        <v>26</v>
      </c>
      <c r="K954" t="s">
        <v>48</v>
      </c>
      <c r="L954" t="b">
        <v>1</v>
      </c>
      <c r="M954" t="s">
        <v>4668</v>
      </c>
      <c r="N954" t="str">
        <f>"709.02/4"</f>
        <v>709.02/4</v>
      </c>
      <c r="O954" t="s">
        <v>568</v>
      </c>
      <c r="P954" t="b">
        <v>0</v>
      </c>
      <c r="Q954" t="b">
        <v>0</v>
      </c>
      <c r="R954" t="str">
        <f>"9781851687244"</f>
        <v>9781851687244</v>
      </c>
      <c r="S954" t="str">
        <f>"9781780741789"</f>
        <v>9781780741789</v>
      </c>
      <c r="T954">
        <v>858912871</v>
      </c>
    </row>
    <row r="955" spans="1:20" x14ac:dyDescent="0.25">
      <c r="A955">
        <v>910580</v>
      </c>
      <c r="B955" t="s">
        <v>4669</v>
      </c>
      <c r="C955" t="s">
        <v>2054</v>
      </c>
      <c r="D955" t="s">
        <v>131</v>
      </c>
      <c r="E955" t="s">
        <v>552</v>
      </c>
      <c r="F955">
        <v>2013</v>
      </c>
      <c r="G955" t="s">
        <v>4670</v>
      </c>
      <c r="H955" t="s">
        <v>4671</v>
      </c>
      <c r="I955" t="s">
        <v>4672</v>
      </c>
      <c r="J955" t="s">
        <v>26</v>
      </c>
      <c r="K955" t="s">
        <v>48</v>
      </c>
      <c r="L955" t="b">
        <v>1</v>
      </c>
      <c r="M955" t="s">
        <v>4673</v>
      </c>
      <c r="N955" t="str">
        <f>"501"</f>
        <v>501</v>
      </c>
      <c r="O955" t="s">
        <v>4528</v>
      </c>
      <c r="P955" t="b">
        <v>0</v>
      </c>
      <c r="Q955" t="b">
        <v>0</v>
      </c>
      <c r="R955" t="str">
        <f>"9781780742540"</f>
        <v>9781780742540</v>
      </c>
      <c r="S955" t="str">
        <f>"9781780742557"</f>
        <v>9781780742557</v>
      </c>
      <c r="T955">
        <v>890932885</v>
      </c>
    </row>
    <row r="956" spans="1:20" x14ac:dyDescent="0.25">
      <c r="A956">
        <v>910570</v>
      </c>
      <c r="B956" t="s">
        <v>4674</v>
      </c>
      <c r="C956" t="s">
        <v>2054</v>
      </c>
      <c r="D956" t="s">
        <v>131</v>
      </c>
      <c r="E956" t="s">
        <v>552</v>
      </c>
      <c r="F956">
        <v>2011</v>
      </c>
      <c r="G956" t="s">
        <v>4670</v>
      </c>
      <c r="H956" t="s">
        <v>4675</v>
      </c>
      <c r="I956" t="s">
        <v>4676</v>
      </c>
      <c r="J956" t="s">
        <v>26</v>
      </c>
      <c r="K956" t="s">
        <v>48</v>
      </c>
      <c r="L956" t="b">
        <v>1</v>
      </c>
      <c r="M956" t="s">
        <v>4677</v>
      </c>
      <c r="N956" t="str">
        <f>"539.72"</f>
        <v>539.72</v>
      </c>
      <c r="O956" t="s">
        <v>4538</v>
      </c>
      <c r="P956" t="b">
        <v>0</v>
      </c>
      <c r="Q956" t="b">
        <v>0</v>
      </c>
      <c r="R956" t="str">
        <f>"9781851687862"</f>
        <v>9781851687862</v>
      </c>
      <c r="S956" t="str">
        <f>"9781780740393"</f>
        <v>9781780740393</v>
      </c>
      <c r="T956">
        <v>892244151</v>
      </c>
    </row>
    <row r="957" spans="1:20" x14ac:dyDescent="0.25">
      <c r="A957">
        <v>910564</v>
      </c>
      <c r="B957" t="s">
        <v>4678</v>
      </c>
      <c r="C957" t="s">
        <v>2054</v>
      </c>
      <c r="D957" t="s">
        <v>131</v>
      </c>
      <c r="E957" t="s">
        <v>552</v>
      </c>
      <c r="F957">
        <v>2010</v>
      </c>
      <c r="G957" t="s">
        <v>4579</v>
      </c>
      <c r="H957" t="s">
        <v>2656</v>
      </c>
      <c r="J957" t="s">
        <v>26</v>
      </c>
      <c r="K957" t="s">
        <v>86</v>
      </c>
      <c r="L957" t="b">
        <v>1</v>
      </c>
      <c r="M957" t="s">
        <v>4679</v>
      </c>
      <c r="N957" t="str">
        <f>"193"</f>
        <v>193</v>
      </c>
      <c r="O957" t="s">
        <v>4528</v>
      </c>
      <c r="P957" t="b">
        <v>0</v>
      </c>
      <c r="Q957" t="b">
        <v>0</v>
      </c>
      <c r="R957" t="str">
        <f>"9781851687572"</f>
        <v>9781851687572</v>
      </c>
      <c r="S957" t="str">
        <f>"9781780741703"</f>
        <v>9781780741703</v>
      </c>
      <c r="T957">
        <v>891062838</v>
      </c>
    </row>
    <row r="958" spans="1:20" x14ac:dyDescent="0.25">
      <c r="A958">
        <v>910562</v>
      </c>
      <c r="B958" t="s">
        <v>4680</v>
      </c>
      <c r="C958" t="s">
        <v>4681</v>
      </c>
      <c r="D958" t="s">
        <v>131</v>
      </c>
      <c r="E958" t="s">
        <v>552</v>
      </c>
      <c r="F958">
        <v>2012</v>
      </c>
      <c r="G958" t="s">
        <v>2061</v>
      </c>
      <c r="H958" t="s">
        <v>4682</v>
      </c>
      <c r="I958" t="s">
        <v>4683</v>
      </c>
      <c r="J958" t="s">
        <v>26</v>
      </c>
      <c r="K958" t="s">
        <v>48</v>
      </c>
      <c r="L958" t="b">
        <v>1</v>
      </c>
      <c r="M958" t="s">
        <v>4684</v>
      </c>
      <c r="N958" t="str">
        <f>"305.486971092"</f>
        <v>305.486971092</v>
      </c>
      <c r="O958" t="s">
        <v>4685</v>
      </c>
      <c r="P958" t="b">
        <v>0</v>
      </c>
      <c r="Q958" t="b">
        <v>0</v>
      </c>
      <c r="R958" t="str">
        <f>"9781851687695"</f>
        <v>9781851687695</v>
      </c>
      <c r="S958" t="str">
        <f>"9781780742144"</f>
        <v>9781780742144</v>
      </c>
      <c r="T958">
        <v>891448778</v>
      </c>
    </row>
    <row r="959" spans="1:20" x14ac:dyDescent="0.25">
      <c r="A959">
        <v>910560</v>
      </c>
      <c r="B959" t="s">
        <v>4686</v>
      </c>
      <c r="C959" t="s">
        <v>4687</v>
      </c>
      <c r="D959" t="s">
        <v>131</v>
      </c>
      <c r="E959" t="s">
        <v>552</v>
      </c>
      <c r="F959">
        <v>2011</v>
      </c>
      <c r="G959" t="s">
        <v>4688</v>
      </c>
      <c r="H959" t="s">
        <v>4689</v>
      </c>
      <c r="I959" t="s">
        <v>4690</v>
      </c>
      <c r="J959" t="s">
        <v>26</v>
      </c>
      <c r="K959" t="s">
        <v>48</v>
      </c>
      <c r="L959" t="b">
        <v>1</v>
      </c>
      <c r="M959" t="s">
        <v>4691</v>
      </c>
      <c r="N959" t="str">
        <f>"611.01816"</f>
        <v>611.01816</v>
      </c>
      <c r="P959" t="b">
        <v>0</v>
      </c>
      <c r="Q959" t="b">
        <v>0</v>
      </c>
      <c r="R959" t="str">
        <f>"9781851688333"</f>
        <v>9781851688333</v>
      </c>
      <c r="S959" t="str">
        <f>"9781851688647"</f>
        <v>9781851688647</v>
      </c>
      <c r="T959">
        <v>884910711</v>
      </c>
    </row>
    <row r="960" spans="1:20" x14ac:dyDescent="0.25">
      <c r="A960">
        <v>910557</v>
      </c>
      <c r="B960" t="s">
        <v>4692</v>
      </c>
      <c r="D960" t="s">
        <v>131</v>
      </c>
      <c r="E960" t="s">
        <v>552</v>
      </c>
      <c r="F960">
        <v>2013</v>
      </c>
      <c r="G960" t="s">
        <v>4640</v>
      </c>
      <c r="H960" t="s">
        <v>4693</v>
      </c>
      <c r="I960" t="s">
        <v>4694</v>
      </c>
      <c r="J960" t="s">
        <v>26</v>
      </c>
      <c r="K960" t="s">
        <v>48</v>
      </c>
      <c r="L960" t="b">
        <v>1</v>
      </c>
      <c r="M960" t="s">
        <v>4695</v>
      </c>
      <c r="N960" t="str">
        <f>"181/.5"</f>
        <v>181/.5</v>
      </c>
      <c r="O960" t="s">
        <v>4685</v>
      </c>
      <c r="P960" t="b">
        <v>0</v>
      </c>
      <c r="Q960" t="b">
        <v>0</v>
      </c>
      <c r="R960" t="str">
        <f>"9781851684298"</f>
        <v>9781851684298</v>
      </c>
      <c r="S960" t="str">
        <f>"9781780743349"</f>
        <v>9781780743349</v>
      </c>
      <c r="T960">
        <v>893488467</v>
      </c>
    </row>
    <row r="961" spans="1:20" x14ac:dyDescent="0.25">
      <c r="A961">
        <v>910555</v>
      </c>
      <c r="B961" t="s">
        <v>4696</v>
      </c>
      <c r="D961" t="s">
        <v>131</v>
      </c>
      <c r="E961" t="s">
        <v>552</v>
      </c>
      <c r="F961">
        <v>2013</v>
      </c>
      <c r="G961" t="s">
        <v>4697</v>
      </c>
      <c r="H961" t="s">
        <v>4698</v>
      </c>
      <c r="I961" t="s">
        <v>4699</v>
      </c>
      <c r="J961" t="s">
        <v>26</v>
      </c>
      <c r="K961" t="s">
        <v>48</v>
      </c>
      <c r="L961" t="b">
        <v>1</v>
      </c>
      <c r="M961" t="s">
        <v>4700</v>
      </c>
      <c r="N961" t="str">
        <f>"170.0"</f>
        <v>170.0</v>
      </c>
      <c r="P961" t="b">
        <v>0</v>
      </c>
      <c r="Q961" t="b">
        <v>0</v>
      </c>
      <c r="R961" t="str">
        <f>"9781780743172"</f>
        <v>9781780743172</v>
      </c>
      <c r="S961" t="str">
        <f>"9781780743189"</f>
        <v>9781780743189</v>
      </c>
      <c r="T961">
        <v>890932850</v>
      </c>
    </row>
    <row r="962" spans="1:20" x14ac:dyDescent="0.25">
      <c r="A962">
        <v>910543</v>
      </c>
      <c r="B962" t="s">
        <v>4701</v>
      </c>
      <c r="C962" t="s">
        <v>2054</v>
      </c>
      <c r="D962" t="s">
        <v>131</v>
      </c>
      <c r="E962" t="s">
        <v>552</v>
      </c>
      <c r="F962">
        <v>2012</v>
      </c>
      <c r="G962" t="s">
        <v>856</v>
      </c>
      <c r="H962" t="s">
        <v>4702</v>
      </c>
      <c r="I962" t="s">
        <v>4703</v>
      </c>
      <c r="J962" t="s">
        <v>26</v>
      </c>
      <c r="K962" t="s">
        <v>48</v>
      </c>
      <c r="L962" t="b">
        <v>1</v>
      </c>
      <c r="M962" t="s">
        <v>4704</v>
      </c>
      <c r="N962" t="str">
        <f>"320.1092"</f>
        <v>320.1092</v>
      </c>
      <c r="O962" t="s">
        <v>562</v>
      </c>
      <c r="P962" t="b">
        <v>0</v>
      </c>
      <c r="Q962" t="b">
        <v>0</v>
      </c>
      <c r="R962" t="str">
        <f>"9781851686391"</f>
        <v>9781851686391</v>
      </c>
      <c r="S962" t="str">
        <f>"9781780741642"</f>
        <v>9781780741642</v>
      </c>
      <c r="T962">
        <v>889909110</v>
      </c>
    </row>
    <row r="963" spans="1:20" x14ac:dyDescent="0.25">
      <c r="A963">
        <v>910538</v>
      </c>
      <c r="B963" t="s">
        <v>4705</v>
      </c>
      <c r="C963" t="s">
        <v>4706</v>
      </c>
      <c r="D963" t="s">
        <v>131</v>
      </c>
      <c r="E963" t="s">
        <v>552</v>
      </c>
      <c r="F963">
        <v>2014</v>
      </c>
      <c r="G963" t="s">
        <v>2071</v>
      </c>
      <c r="H963" t="s">
        <v>4707</v>
      </c>
      <c r="I963" t="s">
        <v>2073</v>
      </c>
      <c r="J963" t="s">
        <v>26</v>
      </c>
      <c r="K963" t="s">
        <v>48</v>
      </c>
      <c r="L963" t="b">
        <v>1</v>
      </c>
      <c r="M963" t="s">
        <v>2074</v>
      </c>
      <c r="N963" t="str">
        <f>"322.420947"</f>
        <v>322.420947</v>
      </c>
      <c r="P963" t="b">
        <v>0</v>
      </c>
      <c r="Q963" t="b">
        <v>0</v>
      </c>
      <c r="R963" t="str">
        <f>"9781780743486"</f>
        <v>9781780743486</v>
      </c>
      <c r="S963" t="str">
        <f>"9781780743493"</f>
        <v>9781780743493</v>
      </c>
      <c r="T963">
        <v>884910871</v>
      </c>
    </row>
    <row r="964" spans="1:20" x14ac:dyDescent="0.25">
      <c r="A964">
        <v>910536</v>
      </c>
      <c r="B964" t="s">
        <v>4708</v>
      </c>
      <c r="C964" t="s">
        <v>2054</v>
      </c>
      <c r="D964" t="s">
        <v>131</v>
      </c>
      <c r="E964" t="s">
        <v>552</v>
      </c>
      <c r="F964">
        <v>2012</v>
      </c>
      <c r="G964" t="s">
        <v>1738</v>
      </c>
      <c r="H964" t="s">
        <v>4709</v>
      </c>
      <c r="I964" t="s">
        <v>4710</v>
      </c>
      <c r="J964" t="s">
        <v>26</v>
      </c>
      <c r="K964" t="s">
        <v>48</v>
      </c>
      <c r="L964" t="b">
        <v>1</v>
      </c>
      <c r="M964" t="s">
        <v>4711</v>
      </c>
      <c r="N964" t="str">
        <f>"070.4"</f>
        <v>070.4</v>
      </c>
      <c r="O964" t="s">
        <v>562</v>
      </c>
      <c r="P964" t="b">
        <v>0</v>
      </c>
      <c r="Q964" t="b">
        <v>0</v>
      </c>
      <c r="R964" t="str">
        <f>"9781851687039"</f>
        <v>9781851687039</v>
      </c>
      <c r="S964" t="str">
        <f>"9781780741604"</f>
        <v>9781780741604</v>
      </c>
      <c r="T964">
        <v>889908955</v>
      </c>
    </row>
    <row r="965" spans="1:20" x14ac:dyDescent="0.25">
      <c r="A965">
        <v>910519</v>
      </c>
      <c r="B965" t="s">
        <v>4712</v>
      </c>
      <c r="C965" t="s">
        <v>2054</v>
      </c>
      <c r="D965" t="s">
        <v>131</v>
      </c>
      <c r="E965" t="s">
        <v>552</v>
      </c>
      <c r="F965">
        <v>2012</v>
      </c>
      <c r="G965" t="s">
        <v>4713</v>
      </c>
      <c r="H965" t="s">
        <v>4714</v>
      </c>
      <c r="I965" t="s">
        <v>4715</v>
      </c>
      <c r="J965" t="s">
        <v>26</v>
      </c>
      <c r="K965" t="s">
        <v>48</v>
      </c>
      <c r="L965" t="b">
        <v>1</v>
      </c>
      <c r="M965" t="s">
        <v>4716</v>
      </c>
      <c r="N965" t="str">
        <f>"509"</f>
        <v>509</v>
      </c>
      <c r="O965" t="s">
        <v>568</v>
      </c>
      <c r="P965" t="b">
        <v>0</v>
      </c>
      <c r="Q965" t="b">
        <v>0</v>
      </c>
      <c r="R965" t="str">
        <f>"9781851686810"</f>
        <v>9781851686810</v>
      </c>
      <c r="S965" t="str">
        <f>"9781780741598"</f>
        <v>9781780741598</v>
      </c>
      <c r="T965">
        <v>864433358</v>
      </c>
    </row>
    <row r="966" spans="1:20" x14ac:dyDescent="0.25">
      <c r="A966">
        <v>910514</v>
      </c>
      <c r="B966" t="s">
        <v>4717</v>
      </c>
      <c r="C966" t="s">
        <v>4718</v>
      </c>
      <c r="D966" t="s">
        <v>1151</v>
      </c>
      <c r="E966" t="s">
        <v>552</v>
      </c>
      <c r="F966">
        <v>2009</v>
      </c>
      <c r="G966" t="s">
        <v>2061</v>
      </c>
      <c r="H966" t="s">
        <v>4719</v>
      </c>
      <c r="I966" t="s">
        <v>4720</v>
      </c>
      <c r="J966" t="s">
        <v>26</v>
      </c>
      <c r="K966" t="s">
        <v>48</v>
      </c>
      <c r="L966" t="b">
        <v>1</v>
      </c>
      <c r="M966" t="s">
        <v>4721</v>
      </c>
      <c r="N966" t="str">
        <f>"297.124"</f>
        <v>297.124</v>
      </c>
      <c r="O966" t="s">
        <v>4722</v>
      </c>
      <c r="P966" t="b">
        <v>0</v>
      </c>
      <c r="Q966" t="b">
        <v>0</v>
      </c>
      <c r="R966" t="str">
        <f>"9781851686636"</f>
        <v>9781851686636</v>
      </c>
      <c r="S966" t="str">
        <f>"9781780740256"</f>
        <v>9781780740256</v>
      </c>
      <c r="T966">
        <v>642399378</v>
      </c>
    </row>
    <row r="967" spans="1:20" x14ac:dyDescent="0.25">
      <c r="A967">
        <v>910509</v>
      </c>
      <c r="B967" t="s">
        <v>4723</v>
      </c>
      <c r="C967" t="s">
        <v>2054</v>
      </c>
      <c r="D967" t="s">
        <v>131</v>
      </c>
      <c r="E967" t="s">
        <v>552</v>
      </c>
      <c r="F967">
        <v>2008</v>
      </c>
      <c r="G967" t="s">
        <v>2077</v>
      </c>
      <c r="H967" t="s">
        <v>4724</v>
      </c>
      <c r="I967" t="s">
        <v>4725</v>
      </c>
      <c r="J967" t="s">
        <v>26</v>
      </c>
      <c r="K967" t="s">
        <v>48</v>
      </c>
      <c r="L967" t="b">
        <v>1</v>
      </c>
      <c r="M967" t="s">
        <v>4726</v>
      </c>
      <c r="N967" t="str">
        <f>"303.625"</f>
        <v>303.625</v>
      </c>
      <c r="O967" t="s">
        <v>4528</v>
      </c>
      <c r="P967" t="b">
        <v>0</v>
      </c>
      <c r="Q967" t="b">
        <v>0</v>
      </c>
      <c r="R967" t="str">
        <f>"9781851686087"</f>
        <v>9781851686087</v>
      </c>
      <c r="S967" t="str">
        <f>"9781780741581"</f>
        <v>9781780741581</v>
      </c>
      <c r="T967">
        <v>852483085</v>
      </c>
    </row>
    <row r="968" spans="1:20" x14ac:dyDescent="0.25">
      <c r="A968">
        <v>910507</v>
      </c>
      <c r="B968" t="s">
        <v>4727</v>
      </c>
      <c r="C968" t="s">
        <v>4728</v>
      </c>
      <c r="D968" t="s">
        <v>131</v>
      </c>
      <c r="E968" t="s">
        <v>552</v>
      </c>
      <c r="F968">
        <v>2013</v>
      </c>
      <c r="G968" t="s">
        <v>4520</v>
      </c>
      <c r="H968" t="s">
        <v>4729</v>
      </c>
      <c r="I968" t="s">
        <v>4730</v>
      </c>
      <c r="J968" t="s">
        <v>26</v>
      </c>
      <c r="K968" t="s">
        <v>48</v>
      </c>
      <c r="L968" t="b">
        <v>1</v>
      </c>
      <c r="M968" t="s">
        <v>4731</v>
      </c>
      <c r="N968" t="str">
        <f>"150.19/52092"</f>
        <v>150.19/52092</v>
      </c>
      <c r="P968" t="b">
        <v>0</v>
      </c>
      <c r="Q968" t="b">
        <v>0</v>
      </c>
      <c r="R968" t="str">
        <f>"9781780742625"</f>
        <v>9781780742625</v>
      </c>
      <c r="S968" t="str">
        <f>"9781780742632"</f>
        <v>9781780742632</v>
      </c>
      <c r="T968">
        <v>890932497</v>
      </c>
    </row>
    <row r="969" spans="1:20" x14ac:dyDescent="0.25">
      <c r="A969">
        <v>910504</v>
      </c>
      <c r="B969" t="s">
        <v>4732</v>
      </c>
      <c r="C969" t="s">
        <v>4733</v>
      </c>
      <c r="D969" t="s">
        <v>131</v>
      </c>
      <c r="E969" t="s">
        <v>552</v>
      </c>
      <c r="F969">
        <v>2009</v>
      </c>
      <c r="G969" t="s">
        <v>2061</v>
      </c>
      <c r="H969" t="s">
        <v>4734</v>
      </c>
      <c r="I969" t="s">
        <v>4735</v>
      </c>
      <c r="J969" t="s">
        <v>26</v>
      </c>
      <c r="K969" t="s">
        <v>48</v>
      </c>
      <c r="L969" t="b">
        <v>1</v>
      </c>
      <c r="M969" t="s">
        <v>4736</v>
      </c>
      <c r="N969" t="str">
        <f>"305.420917671"</f>
        <v>305.420917671</v>
      </c>
      <c r="P969" t="b">
        <v>0</v>
      </c>
      <c r="Q969" t="b">
        <v>0</v>
      </c>
      <c r="R969" t="str">
        <f>"9781851685561"</f>
        <v>9781851685561</v>
      </c>
      <c r="S969" t="str">
        <f>"9781780744476"</f>
        <v>9781780744476</v>
      </c>
      <c r="T969">
        <v>637006747</v>
      </c>
    </row>
    <row r="970" spans="1:20" x14ac:dyDescent="0.25">
      <c r="A970">
        <v>910500</v>
      </c>
      <c r="B970" t="s">
        <v>4737</v>
      </c>
      <c r="C970" t="s">
        <v>4738</v>
      </c>
      <c r="D970" t="s">
        <v>131</v>
      </c>
      <c r="E970" t="s">
        <v>552</v>
      </c>
      <c r="F970">
        <v>2013</v>
      </c>
      <c r="G970" t="s">
        <v>605</v>
      </c>
      <c r="H970" t="s">
        <v>4739</v>
      </c>
      <c r="I970" t="s">
        <v>4740</v>
      </c>
      <c r="J970" t="s">
        <v>26</v>
      </c>
      <c r="K970" t="s">
        <v>48</v>
      </c>
      <c r="L970" t="b">
        <v>1</v>
      </c>
      <c r="M970" t="s">
        <v>4679</v>
      </c>
      <c r="N970" t="str">
        <f>"111/.85094"</f>
        <v>111/.85094</v>
      </c>
      <c r="P970" t="b">
        <v>0</v>
      </c>
      <c r="Q970" t="b">
        <v>0</v>
      </c>
      <c r="R970" t="str">
        <f>"9781851688197"</f>
        <v>9781851688197</v>
      </c>
      <c r="S970" t="str">
        <f>"9781780740775"</f>
        <v>9781780740775</v>
      </c>
      <c r="T970">
        <v>891060838</v>
      </c>
    </row>
    <row r="971" spans="1:20" x14ac:dyDescent="0.25">
      <c r="A971">
        <v>910499</v>
      </c>
      <c r="B971" t="s">
        <v>4741</v>
      </c>
      <c r="C971" t="s">
        <v>2054</v>
      </c>
      <c r="D971" t="s">
        <v>131</v>
      </c>
      <c r="E971" t="s">
        <v>552</v>
      </c>
      <c r="F971">
        <v>2014</v>
      </c>
      <c r="G971" t="s">
        <v>2476</v>
      </c>
      <c r="H971" t="s">
        <v>4742</v>
      </c>
      <c r="I971" t="s">
        <v>2016</v>
      </c>
      <c r="J971" t="s">
        <v>26</v>
      </c>
      <c r="K971" t="s">
        <v>48</v>
      </c>
      <c r="L971" t="b">
        <v>1</v>
      </c>
      <c r="M971" t="s">
        <v>4743</v>
      </c>
      <c r="N971" t="str">
        <f>"121"</f>
        <v>121</v>
      </c>
      <c r="O971" t="s">
        <v>4538</v>
      </c>
      <c r="P971" t="b">
        <v>0</v>
      </c>
      <c r="Q971" t="b">
        <v>0</v>
      </c>
      <c r="R971" t="str">
        <f>"9781851687329"</f>
        <v>9781851687329</v>
      </c>
      <c r="S971" t="str">
        <f>"9781780741543"</f>
        <v>9781780741543</v>
      </c>
      <c r="T971">
        <v>883871102</v>
      </c>
    </row>
    <row r="972" spans="1:20" x14ac:dyDescent="0.25">
      <c r="A972">
        <v>910490</v>
      </c>
      <c r="B972" t="s">
        <v>4744</v>
      </c>
      <c r="C972" t="s">
        <v>2054</v>
      </c>
      <c r="D972" t="s">
        <v>131</v>
      </c>
      <c r="E972" t="s">
        <v>552</v>
      </c>
      <c r="F972">
        <v>2012</v>
      </c>
      <c r="G972" t="s">
        <v>1681</v>
      </c>
      <c r="H972" t="s">
        <v>4745</v>
      </c>
      <c r="I972" t="s">
        <v>4746</v>
      </c>
      <c r="J972" t="s">
        <v>26</v>
      </c>
      <c r="K972" t="s">
        <v>48</v>
      </c>
      <c r="L972" t="b">
        <v>1</v>
      </c>
      <c r="M972" t="s">
        <v>4747</v>
      </c>
      <c r="N972" t="str">
        <f>"333.95416"</f>
        <v>333.95416</v>
      </c>
      <c r="O972" t="s">
        <v>562</v>
      </c>
      <c r="P972" t="b">
        <v>0</v>
      </c>
      <c r="Q972" t="b">
        <v>0</v>
      </c>
      <c r="R972" t="str">
        <f>"9781851687145"</f>
        <v>9781851687145</v>
      </c>
      <c r="S972" t="str">
        <f>"9781780741451"</f>
        <v>9781780741451</v>
      </c>
      <c r="T972">
        <v>889909162</v>
      </c>
    </row>
    <row r="973" spans="1:20" x14ac:dyDescent="0.25">
      <c r="A973">
        <v>910487</v>
      </c>
      <c r="B973" t="s">
        <v>4748</v>
      </c>
      <c r="C973" t="s">
        <v>2054</v>
      </c>
      <c r="D973" t="s">
        <v>131</v>
      </c>
      <c r="E973" t="s">
        <v>552</v>
      </c>
      <c r="F973">
        <v>2009</v>
      </c>
      <c r="G973" t="s">
        <v>1939</v>
      </c>
      <c r="H973" t="s">
        <v>4749</v>
      </c>
      <c r="I973" t="s">
        <v>4750</v>
      </c>
      <c r="J973" t="s">
        <v>26</v>
      </c>
      <c r="K973" t="s">
        <v>48</v>
      </c>
      <c r="L973" t="b">
        <v>1</v>
      </c>
      <c r="M973" t="s">
        <v>4751</v>
      </c>
      <c r="N973" t="str">
        <f>"780"</f>
        <v>780</v>
      </c>
      <c r="O973" t="s">
        <v>568</v>
      </c>
      <c r="P973" t="b">
        <v>0</v>
      </c>
      <c r="Q973" t="b">
        <v>0</v>
      </c>
      <c r="R973" t="str">
        <f>"9781851686872"</f>
        <v>9781851686872</v>
      </c>
      <c r="S973" t="str">
        <f>"9781780741413"</f>
        <v>9781780741413</v>
      </c>
      <c r="T973">
        <v>859530657</v>
      </c>
    </row>
    <row r="974" spans="1:20" x14ac:dyDescent="0.25">
      <c r="A974">
        <v>910477</v>
      </c>
      <c r="B974" t="s">
        <v>4752</v>
      </c>
      <c r="C974" t="s">
        <v>2054</v>
      </c>
      <c r="D974" t="s">
        <v>131</v>
      </c>
      <c r="E974" t="s">
        <v>552</v>
      </c>
      <c r="F974">
        <v>2012</v>
      </c>
      <c r="G974" t="s">
        <v>4753</v>
      </c>
      <c r="H974" t="s">
        <v>4754</v>
      </c>
      <c r="I974" t="s">
        <v>4755</v>
      </c>
      <c r="J974" t="s">
        <v>26</v>
      </c>
      <c r="K974" t="s">
        <v>48</v>
      </c>
      <c r="L974" t="b">
        <v>1</v>
      </c>
      <c r="M974" t="s">
        <v>4756</v>
      </c>
      <c r="N974" t="str">
        <f>"301"</f>
        <v>301</v>
      </c>
      <c r="O974" t="s">
        <v>568</v>
      </c>
      <c r="P974" t="b">
        <v>0</v>
      </c>
      <c r="Q974" t="b">
        <v>0</v>
      </c>
      <c r="R974" t="str">
        <f>"9781851689309"</f>
        <v>9781851689309</v>
      </c>
      <c r="S974" t="str">
        <f>"9781780741178"</f>
        <v>9781780741178</v>
      </c>
      <c r="T974">
        <v>852481528</v>
      </c>
    </row>
    <row r="975" spans="1:20" x14ac:dyDescent="0.25">
      <c r="A975">
        <v>907258</v>
      </c>
      <c r="B975" t="s">
        <v>4757</v>
      </c>
      <c r="C975" t="s">
        <v>4758</v>
      </c>
      <c r="D975" t="s">
        <v>131</v>
      </c>
      <c r="E975" t="s">
        <v>4238</v>
      </c>
      <c r="F975">
        <v>2014</v>
      </c>
      <c r="G975" t="s">
        <v>4759</v>
      </c>
      <c r="H975" t="s">
        <v>4760</v>
      </c>
      <c r="I975" t="s">
        <v>4761</v>
      </c>
      <c r="J975" t="s">
        <v>26</v>
      </c>
      <c r="K975" t="s">
        <v>48</v>
      </c>
      <c r="L975" t="b">
        <v>1</v>
      </c>
      <c r="M975" t="s">
        <v>4762</v>
      </c>
      <c r="N975" t="str">
        <f>"830.8/03243"</f>
        <v>830.8/03243</v>
      </c>
      <c r="P975" t="b">
        <v>1</v>
      </c>
      <c r="Q975" t="b">
        <v>0</v>
      </c>
      <c r="R975" t="str">
        <f>"9781566569682"</f>
        <v>9781566569682</v>
      </c>
      <c r="S975" t="str">
        <f>"9781623710545"</f>
        <v>9781623710545</v>
      </c>
      <c r="T975">
        <v>896345500</v>
      </c>
    </row>
    <row r="976" spans="1:20" x14ac:dyDescent="0.25">
      <c r="A976">
        <v>904494</v>
      </c>
      <c r="B976" t="s">
        <v>4763</v>
      </c>
      <c r="C976" t="s">
        <v>4764</v>
      </c>
      <c r="D976" t="s">
        <v>131</v>
      </c>
      <c r="E976" t="s">
        <v>1731</v>
      </c>
      <c r="F976">
        <v>2014</v>
      </c>
      <c r="G976" t="s">
        <v>2417</v>
      </c>
      <c r="H976" t="s">
        <v>4765</v>
      </c>
      <c r="I976" t="s">
        <v>4766</v>
      </c>
      <c r="J976" t="s">
        <v>26</v>
      </c>
      <c r="K976" t="s">
        <v>48</v>
      </c>
      <c r="L976" t="b">
        <v>1</v>
      </c>
      <c r="M976" t="s">
        <v>4767</v>
      </c>
      <c r="N976" t="str">
        <f>"801/.95"</f>
        <v>801/.95</v>
      </c>
      <c r="P976" t="b">
        <v>0</v>
      </c>
      <c r="Q976" t="b">
        <v>0</v>
      </c>
      <c r="R976" t="str">
        <f>"9781938103780"</f>
        <v>9781938103780</v>
      </c>
      <c r="S976" t="str">
        <f>"9781941531891"</f>
        <v>9781941531891</v>
      </c>
      <c r="T976">
        <v>897425884</v>
      </c>
    </row>
    <row r="977" spans="1:20" x14ac:dyDescent="0.25">
      <c r="A977">
        <v>891737</v>
      </c>
      <c r="B977" t="s">
        <v>4768</v>
      </c>
      <c r="C977" t="s">
        <v>4769</v>
      </c>
      <c r="D977" t="s">
        <v>123</v>
      </c>
      <c r="E977" t="s">
        <v>124</v>
      </c>
      <c r="F977">
        <v>2014</v>
      </c>
      <c r="G977" t="s">
        <v>4770</v>
      </c>
      <c r="H977" t="s">
        <v>4771</v>
      </c>
      <c r="I977" t="s">
        <v>4772</v>
      </c>
      <c r="J977" t="s">
        <v>26</v>
      </c>
      <c r="K977" t="s">
        <v>48</v>
      </c>
      <c r="L977" t="b">
        <v>1</v>
      </c>
      <c r="M977" t="s">
        <v>4773</v>
      </c>
      <c r="N977" t="str">
        <f>"616.0478;616.8528"</f>
        <v>616.0478;616.8528</v>
      </c>
      <c r="P977" t="b">
        <v>0</v>
      </c>
      <c r="Q977" t="b">
        <v>0</v>
      </c>
      <c r="R977" t="str">
        <f>"9781626365650"</f>
        <v>9781626365650</v>
      </c>
      <c r="S977" t="str">
        <f>"9781628739299"</f>
        <v>9781628739299</v>
      </c>
      <c r="T977">
        <v>894790026</v>
      </c>
    </row>
    <row r="978" spans="1:20" x14ac:dyDescent="0.25">
      <c r="A978">
        <v>891733</v>
      </c>
      <c r="B978" t="s">
        <v>4774</v>
      </c>
      <c r="C978" t="s">
        <v>4775</v>
      </c>
      <c r="D978" t="s">
        <v>123</v>
      </c>
      <c r="E978" t="s">
        <v>1706</v>
      </c>
      <c r="F978">
        <v>2013</v>
      </c>
      <c r="G978" t="s">
        <v>546</v>
      </c>
      <c r="H978" t="s">
        <v>4776</v>
      </c>
      <c r="I978" t="s">
        <v>4777</v>
      </c>
      <c r="J978" t="s">
        <v>26</v>
      </c>
      <c r="K978" t="s">
        <v>48</v>
      </c>
      <c r="L978" t="b">
        <v>1</v>
      </c>
      <c r="M978" t="s">
        <v>4778</v>
      </c>
      <c r="N978" t="str">
        <f>"843/.7"</f>
        <v>843/.7</v>
      </c>
      <c r="P978" t="b">
        <v>0</v>
      </c>
      <c r="Q978" t="b">
        <v>0</v>
      </c>
      <c r="R978" t="str">
        <f>"9781611457162"</f>
        <v>9781611457162</v>
      </c>
      <c r="S978" t="str">
        <f>"9781628724998"</f>
        <v>9781628724998</v>
      </c>
      <c r="T978">
        <v>895254720</v>
      </c>
    </row>
    <row r="979" spans="1:20" x14ac:dyDescent="0.25">
      <c r="A979">
        <v>891695</v>
      </c>
      <c r="B979" t="s">
        <v>4779</v>
      </c>
      <c r="C979" t="s">
        <v>4780</v>
      </c>
      <c r="D979" t="s">
        <v>131</v>
      </c>
      <c r="E979" t="s">
        <v>4781</v>
      </c>
      <c r="F979">
        <v>2014</v>
      </c>
      <c r="G979" t="s">
        <v>4782</v>
      </c>
      <c r="H979" t="s">
        <v>4783</v>
      </c>
      <c r="I979" t="s">
        <v>4784</v>
      </c>
      <c r="J979" t="s">
        <v>26</v>
      </c>
      <c r="K979" t="s">
        <v>48</v>
      </c>
      <c r="L979" t="b">
        <v>1</v>
      </c>
      <c r="M979" t="s">
        <v>4785</v>
      </c>
      <c r="N979" t="str">
        <f>"814/.6"</f>
        <v>814/.6</v>
      </c>
      <c r="P979" t="b">
        <v>0</v>
      </c>
      <c r="Q979" t="b">
        <v>0</v>
      </c>
      <c r="R979" t="str">
        <f>"9780989753227"</f>
        <v>9780989753227</v>
      </c>
      <c r="S979" t="str">
        <f>"9780989753210"</f>
        <v>9780989753210</v>
      </c>
      <c r="T979">
        <v>894790121</v>
      </c>
    </row>
    <row r="980" spans="1:20" x14ac:dyDescent="0.25">
      <c r="A980">
        <v>886876</v>
      </c>
      <c r="B980" t="s">
        <v>4786</v>
      </c>
      <c r="C980" t="s">
        <v>4787</v>
      </c>
      <c r="D980" t="s">
        <v>1364</v>
      </c>
      <c r="E980" t="s">
        <v>1364</v>
      </c>
      <c r="F980">
        <v>2014</v>
      </c>
      <c r="G980" t="s">
        <v>4788</v>
      </c>
      <c r="H980" t="s">
        <v>4789</v>
      </c>
      <c r="I980" t="s">
        <v>4790</v>
      </c>
      <c r="J980" t="s">
        <v>26</v>
      </c>
      <c r="K980" t="s">
        <v>27</v>
      </c>
      <c r="L980" t="b">
        <v>1</v>
      </c>
      <c r="M980" t="s">
        <v>4791</v>
      </c>
      <c r="N980" t="str">
        <f>"003.83"</f>
        <v>003.83</v>
      </c>
      <c r="P980" t="b">
        <v>0</v>
      </c>
      <c r="R980" t="str">
        <f>"9783110298291"</f>
        <v>9783110298291</v>
      </c>
      <c r="S980" t="str">
        <f>"9783110298369"</f>
        <v>9783110298369</v>
      </c>
      <c r="T980">
        <v>897443935</v>
      </c>
    </row>
    <row r="981" spans="1:20" x14ac:dyDescent="0.25">
      <c r="A981">
        <v>886408</v>
      </c>
      <c r="B981" t="s">
        <v>4792</v>
      </c>
      <c r="D981" t="s">
        <v>2020</v>
      </c>
      <c r="E981" t="s">
        <v>2021</v>
      </c>
      <c r="F981">
        <v>2014</v>
      </c>
      <c r="G981" t="s">
        <v>2022</v>
      </c>
      <c r="H981" t="s">
        <v>4793</v>
      </c>
      <c r="I981" t="s">
        <v>4794</v>
      </c>
      <c r="J981" t="s">
        <v>26</v>
      </c>
      <c r="K981" t="s">
        <v>86</v>
      </c>
      <c r="L981" t="b">
        <v>1</v>
      </c>
      <c r="M981" t="s">
        <v>4795</v>
      </c>
      <c r="N981" t="str">
        <f>"610.76"</f>
        <v>610.76</v>
      </c>
      <c r="P981" t="b">
        <v>0</v>
      </c>
      <c r="R981" t="str">
        <f>"9780826120113"</f>
        <v>9780826120113</v>
      </c>
      <c r="S981" t="str">
        <f>"9780826120120"</f>
        <v>9780826120120</v>
      </c>
      <c r="T981">
        <v>894667610</v>
      </c>
    </row>
    <row r="982" spans="1:20" x14ac:dyDescent="0.25">
      <c r="A982">
        <v>881048</v>
      </c>
      <c r="B982" t="s">
        <v>4796</v>
      </c>
      <c r="C982" t="s">
        <v>4797</v>
      </c>
      <c r="D982" t="s">
        <v>4505</v>
      </c>
      <c r="E982" t="s">
        <v>4798</v>
      </c>
      <c r="F982">
        <v>2015</v>
      </c>
      <c r="G982" t="s">
        <v>4799</v>
      </c>
      <c r="H982" t="s">
        <v>4800</v>
      </c>
      <c r="I982" t="s">
        <v>4801</v>
      </c>
      <c r="J982" t="s">
        <v>26</v>
      </c>
      <c r="K982" t="s">
        <v>27</v>
      </c>
      <c r="L982" t="b">
        <v>1</v>
      </c>
      <c r="M982" t="s">
        <v>4802</v>
      </c>
      <c r="N982" t="str">
        <f>"345/.025"</f>
        <v>345/.025</v>
      </c>
      <c r="O982" t="s">
        <v>4803</v>
      </c>
      <c r="P982" t="b">
        <v>0</v>
      </c>
      <c r="R982" t="str">
        <f>"9789004281066"</f>
        <v>9789004281066</v>
      </c>
      <c r="S982" t="str">
        <f>"9789004281073"</f>
        <v>9789004281073</v>
      </c>
      <c r="T982">
        <v>896600292</v>
      </c>
    </row>
    <row r="983" spans="1:20" x14ac:dyDescent="0.25">
      <c r="A983">
        <v>880276</v>
      </c>
      <c r="B983" t="s">
        <v>4804</v>
      </c>
      <c r="D983" t="s">
        <v>644</v>
      </c>
      <c r="E983" t="s">
        <v>2195</v>
      </c>
      <c r="F983">
        <v>2014</v>
      </c>
      <c r="G983" t="s">
        <v>1130</v>
      </c>
      <c r="H983" t="s">
        <v>4805</v>
      </c>
      <c r="I983" t="s">
        <v>4806</v>
      </c>
      <c r="J983" t="s">
        <v>26</v>
      </c>
      <c r="K983" t="s">
        <v>48</v>
      </c>
      <c r="L983" t="b">
        <v>1</v>
      </c>
      <c r="M983" t="s">
        <v>4807</v>
      </c>
      <c r="N983" t="str">
        <f>"822.914;822/.914"</f>
        <v>822.914;822/.914</v>
      </c>
      <c r="P983" t="b">
        <v>1</v>
      </c>
      <c r="Q983" t="b">
        <v>0</v>
      </c>
      <c r="R983" t="str">
        <f>"9781854593443"</f>
        <v>9781854593443</v>
      </c>
      <c r="S983" t="str">
        <f>"9781780014340"</f>
        <v>9781780014340</v>
      </c>
      <c r="T983">
        <v>894170571</v>
      </c>
    </row>
    <row r="984" spans="1:20" x14ac:dyDescent="0.25">
      <c r="A984">
        <v>880269</v>
      </c>
      <c r="B984" t="s">
        <v>4808</v>
      </c>
      <c r="C984" t="s">
        <v>4809</v>
      </c>
      <c r="D984" t="s">
        <v>131</v>
      </c>
      <c r="E984" t="s">
        <v>4810</v>
      </c>
      <c r="F984">
        <v>2014</v>
      </c>
      <c r="G984" t="s">
        <v>4811</v>
      </c>
      <c r="H984" t="s">
        <v>4812</v>
      </c>
      <c r="I984" t="s">
        <v>4813</v>
      </c>
      <c r="J984" t="s">
        <v>26</v>
      </c>
      <c r="K984" t="s">
        <v>86</v>
      </c>
      <c r="L984" t="b">
        <v>1</v>
      </c>
      <c r="M984" t="s">
        <v>4814</v>
      </c>
      <c r="N984" t="str">
        <f>"615.7827"</f>
        <v>615.7827</v>
      </c>
      <c r="P984" t="b">
        <v>0</v>
      </c>
      <c r="Q984" t="b">
        <v>0</v>
      </c>
      <c r="R984" t="str">
        <f>"9781937866112"</f>
        <v>9781937866112</v>
      </c>
      <c r="S984" t="str">
        <f>"9781937866020"</f>
        <v>9781937866020</v>
      </c>
      <c r="T984">
        <v>896824651</v>
      </c>
    </row>
    <row r="985" spans="1:20" x14ac:dyDescent="0.25">
      <c r="A985">
        <v>880183</v>
      </c>
      <c r="B985" t="s">
        <v>4815</v>
      </c>
      <c r="C985" t="s">
        <v>4816</v>
      </c>
      <c r="D985" t="s">
        <v>123</v>
      </c>
      <c r="E985" t="s">
        <v>124</v>
      </c>
      <c r="F985">
        <v>2014</v>
      </c>
      <c r="G985" t="s">
        <v>4817</v>
      </c>
      <c r="H985" t="s">
        <v>4818</v>
      </c>
      <c r="I985" t="s">
        <v>4819</v>
      </c>
      <c r="J985" t="s">
        <v>26</v>
      </c>
      <c r="K985" t="s">
        <v>48</v>
      </c>
      <c r="L985" t="b">
        <v>1</v>
      </c>
      <c r="M985" t="s">
        <v>4820</v>
      </c>
      <c r="N985" t="str">
        <f>"688.72"</f>
        <v>688.72</v>
      </c>
      <c r="P985" t="b">
        <v>0</v>
      </c>
      <c r="Q985" t="b">
        <v>0</v>
      </c>
      <c r="R985" t="str">
        <f>"9781629147635"</f>
        <v>9781629147635</v>
      </c>
      <c r="S985" t="str">
        <f>"9781629148755"</f>
        <v>9781629148755</v>
      </c>
      <c r="T985">
        <v>893736632</v>
      </c>
    </row>
    <row r="986" spans="1:20" x14ac:dyDescent="0.25">
      <c r="A986">
        <v>878450</v>
      </c>
      <c r="B986" t="s">
        <v>4821</v>
      </c>
      <c r="D986" t="s">
        <v>4147</v>
      </c>
      <c r="E986" t="s">
        <v>4147</v>
      </c>
      <c r="F986">
        <v>2014</v>
      </c>
      <c r="G986" t="s">
        <v>4822</v>
      </c>
      <c r="H986" t="s">
        <v>4823</v>
      </c>
      <c r="I986" t="s">
        <v>4824</v>
      </c>
      <c r="J986" t="s">
        <v>26</v>
      </c>
      <c r="K986" t="s">
        <v>27</v>
      </c>
      <c r="L986" t="b">
        <v>1</v>
      </c>
      <c r="M986" t="s">
        <v>4825</v>
      </c>
      <c r="N986" t="str">
        <f>"610.7306/9"</f>
        <v>610.7306/9</v>
      </c>
      <c r="P986" t="b">
        <v>0</v>
      </c>
      <c r="R986" t="str">
        <f>"9781938835469"</f>
        <v>9781938835469</v>
      </c>
      <c r="S986" t="str">
        <f>"9781938835483"</f>
        <v>9781938835483</v>
      </c>
      <c r="T986">
        <v>892580412</v>
      </c>
    </row>
    <row r="987" spans="1:20" x14ac:dyDescent="0.25">
      <c r="A987">
        <v>872228</v>
      </c>
      <c r="B987" t="s">
        <v>4826</v>
      </c>
      <c r="D987" t="s">
        <v>131</v>
      </c>
      <c r="E987" t="s">
        <v>276</v>
      </c>
      <c r="F987">
        <v>2014</v>
      </c>
      <c r="G987" t="s">
        <v>4827</v>
      </c>
      <c r="H987" t="s">
        <v>4828</v>
      </c>
      <c r="I987" t="s">
        <v>4829</v>
      </c>
      <c r="J987" t="s">
        <v>26</v>
      </c>
      <c r="K987" t="s">
        <v>86</v>
      </c>
      <c r="L987" t="b">
        <v>1</v>
      </c>
      <c r="M987" t="s">
        <v>4830</v>
      </c>
      <c r="N987" t="str">
        <f>"303.6/6"</f>
        <v>303.6/6</v>
      </c>
      <c r="P987" t="b">
        <v>0</v>
      </c>
      <c r="Q987" t="b">
        <v>0</v>
      </c>
      <c r="R987" t="str">
        <f>"9781595341983"</f>
        <v>9781595341983</v>
      </c>
      <c r="S987" t="str">
        <f>"9781595341990"</f>
        <v>9781595341990</v>
      </c>
      <c r="T987">
        <v>891448152</v>
      </c>
    </row>
    <row r="988" spans="1:20" x14ac:dyDescent="0.25">
      <c r="A988">
        <v>872227</v>
      </c>
      <c r="B988" t="s">
        <v>4831</v>
      </c>
      <c r="C988" t="s">
        <v>4832</v>
      </c>
      <c r="D988" t="s">
        <v>131</v>
      </c>
      <c r="E988" t="s">
        <v>276</v>
      </c>
      <c r="F988">
        <v>2014</v>
      </c>
      <c r="G988" t="s">
        <v>4833</v>
      </c>
      <c r="H988" t="s">
        <v>4834</v>
      </c>
      <c r="J988" t="s">
        <v>26</v>
      </c>
      <c r="K988" t="s">
        <v>86</v>
      </c>
      <c r="L988" t="b">
        <v>1</v>
      </c>
      <c r="M988" t="s">
        <v>4835</v>
      </c>
      <c r="N988" t="str">
        <f>"811/.54"</f>
        <v>811/.54</v>
      </c>
      <c r="P988" t="b">
        <v>1</v>
      </c>
      <c r="Q988" t="b">
        <v>0</v>
      </c>
      <c r="R988" t="str">
        <f>"9781595342515"</f>
        <v>9781595342515</v>
      </c>
      <c r="S988" t="str">
        <f>"9781595342522"</f>
        <v>9781595342522</v>
      </c>
      <c r="T988">
        <v>894088124</v>
      </c>
    </row>
    <row r="989" spans="1:20" x14ac:dyDescent="0.25">
      <c r="A989">
        <v>872226</v>
      </c>
      <c r="B989" t="s">
        <v>4836</v>
      </c>
      <c r="C989" t="s">
        <v>4837</v>
      </c>
      <c r="D989" t="s">
        <v>131</v>
      </c>
      <c r="E989" t="s">
        <v>276</v>
      </c>
      <c r="F989">
        <v>2014</v>
      </c>
      <c r="G989" t="s">
        <v>2771</v>
      </c>
      <c r="H989" t="s">
        <v>4838</v>
      </c>
      <c r="I989" t="s">
        <v>4839</v>
      </c>
      <c r="J989" t="s">
        <v>26</v>
      </c>
      <c r="K989" t="s">
        <v>48</v>
      </c>
      <c r="L989" t="b">
        <v>1</v>
      </c>
      <c r="M989" t="s">
        <v>4840</v>
      </c>
      <c r="N989" t="str">
        <f>"808.02"</f>
        <v>808.02</v>
      </c>
      <c r="P989" t="b">
        <v>0</v>
      </c>
      <c r="Q989" t="b">
        <v>0</v>
      </c>
      <c r="R989" t="str">
        <f>"9781595341938"</f>
        <v>9781595341938</v>
      </c>
      <c r="S989" t="str">
        <f>"9781595341945"</f>
        <v>9781595341945</v>
      </c>
      <c r="T989">
        <v>890980879</v>
      </c>
    </row>
    <row r="990" spans="1:20" x14ac:dyDescent="0.25">
      <c r="A990">
        <v>871791</v>
      </c>
      <c r="B990" t="s">
        <v>4841</v>
      </c>
      <c r="C990" t="s">
        <v>4842</v>
      </c>
      <c r="D990" t="s">
        <v>131</v>
      </c>
      <c r="E990" t="s">
        <v>1737</v>
      </c>
      <c r="F990">
        <v>2014</v>
      </c>
      <c r="G990" t="s">
        <v>1707</v>
      </c>
      <c r="H990" t="s">
        <v>4843</v>
      </c>
      <c r="I990" t="s">
        <v>4844</v>
      </c>
      <c r="J990" t="s">
        <v>26</v>
      </c>
      <c r="K990" t="s">
        <v>86</v>
      </c>
      <c r="L990" t="b">
        <v>1</v>
      </c>
      <c r="M990" t="s">
        <v>4845</v>
      </c>
      <c r="N990" t="str">
        <f>"577/.18"</f>
        <v>577/.18</v>
      </c>
      <c r="P990" t="b">
        <v>0</v>
      </c>
      <c r="Q990" t="b">
        <v>0</v>
      </c>
      <c r="R990" t="str">
        <f>"9781771640961"</f>
        <v>9781771640961</v>
      </c>
      <c r="S990" t="str">
        <f>"9781771640978"</f>
        <v>9781771640978</v>
      </c>
      <c r="T990">
        <v>892699857</v>
      </c>
    </row>
    <row r="991" spans="1:20" x14ac:dyDescent="0.25">
      <c r="A991">
        <v>871784</v>
      </c>
      <c r="B991" t="s">
        <v>4846</v>
      </c>
      <c r="C991" t="s">
        <v>4847</v>
      </c>
      <c r="D991" t="s">
        <v>131</v>
      </c>
      <c r="E991" t="s">
        <v>4848</v>
      </c>
      <c r="F991">
        <v>2014</v>
      </c>
      <c r="G991" t="s">
        <v>4849</v>
      </c>
      <c r="H991" t="s">
        <v>4850</v>
      </c>
      <c r="I991" t="s">
        <v>4851</v>
      </c>
      <c r="J991" t="s">
        <v>26</v>
      </c>
      <c r="K991" t="s">
        <v>86</v>
      </c>
      <c r="L991" t="b">
        <v>1</v>
      </c>
      <c r="M991" t="s">
        <v>4852</v>
      </c>
      <c r="N991" t="str">
        <f>"618.928522"</f>
        <v>618.928522</v>
      </c>
      <c r="P991" t="b">
        <v>0</v>
      </c>
      <c r="Q991" t="b">
        <v>0</v>
      </c>
      <c r="R991" t="str">
        <f>"9780993653001"</f>
        <v>9780993653001</v>
      </c>
      <c r="S991" t="str">
        <f>"9780993653018"</f>
        <v>9780993653018</v>
      </c>
      <c r="T991">
        <v>893686217</v>
      </c>
    </row>
    <row r="992" spans="1:20" x14ac:dyDescent="0.25">
      <c r="A992">
        <v>871745</v>
      </c>
      <c r="B992" t="s">
        <v>4853</v>
      </c>
      <c r="D992" t="s">
        <v>131</v>
      </c>
      <c r="E992" t="s">
        <v>1731</v>
      </c>
      <c r="F992">
        <v>1979</v>
      </c>
      <c r="G992" t="s">
        <v>4249</v>
      </c>
      <c r="H992" t="s">
        <v>4854</v>
      </c>
      <c r="I992" t="s">
        <v>4855</v>
      </c>
      <c r="J992" t="s">
        <v>26</v>
      </c>
      <c r="K992" t="s">
        <v>48</v>
      </c>
      <c r="L992" t="b">
        <v>1</v>
      </c>
      <c r="M992" t="s">
        <v>4856</v>
      </c>
      <c r="N992" t="str">
        <f>"811/.5/4"</f>
        <v>811/.5/4</v>
      </c>
      <c r="P992" t="b">
        <v>0</v>
      </c>
      <c r="Q992" t="b">
        <v>0</v>
      </c>
      <c r="R992" t="str">
        <f>"9780870232701"</f>
        <v>9780870232701</v>
      </c>
      <c r="S992" t="str">
        <f>"9781941088524"</f>
        <v>9781941088524</v>
      </c>
      <c r="T992">
        <v>643656839</v>
      </c>
    </row>
    <row r="993" spans="1:20" x14ac:dyDescent="0.25">
      <c r="A993">
        <v>871674</v>
      </c>
      <c r="B993" t="s">
        <v>4857</v>
      </c>
      <c r="D993" t="s">
        <v>131</v>
      </c>
      <c r="E993" t="s">
        <v>1731</v>
      </c>
      <c r="F993">
        <v>2013</v>
      </c>
      <c r="G993" t="s">
        <v>1968</v>
      </c>
      <c r="H993" t="s">
        <v>4858</v>
      </c>
      <c r="I993" t="s">
        <v>4859</v>
      </c>
      <c r="J993" t="s">
        <v>26</v>
      </c>
      <c r="K993" t="s">
        <v>48</v>
      </c>
      <c r="L993" t="b">
        <v>1</v>
      </c>
      <c r="M993" t="s">
        <v>4860</v>
      </c>
      <c r="N993" t="str">
        <f>"808/.0092"</f>
        <v>808/.0092</v>
      </c>
      <c r="P993" t="b">
        <v>1</v>
      </c>
      <c r="Q993" t="b">
        <v>0</v>
      </c>
      <c r="R993" t="str">
        <f>"9780805746242"</f>
        <v>9780805746242</v>
      </c>
      <c r="S993" t="str">
        <f>"9781938604959"</f>
        <v>9781938604959</v>
      </c>
      <c r="T993">
        <v>892244270</v>
      </c>
    </row>
    <row r="994" spans="1:20" x14ac:dyDescent="0.25">
      <c r="A994">
        <v>871667</v>
      </c>
      <c r="B994" t="s">
        <v>4861</v>
      </c>
      <c r="D994" t="s">
        <v>131</v>
      </c>
      <c r="E994" t="s">
        <v>1731</v>
      </c>
      <c r="F994">
        <v>2014</v>
      </c>
      <c r="G994" t="s">
        <v>1968</v>
      </c>
      <c r="H994" t="s">
        <v>4862</v>
      </c>
      <c r="I994" t="s">
        <v>4863</v>
      </c>
      <c r="J994" t="s">
        <v>26</v>
      </c>
      <c r="K994" t="s">
        <v>48</v>
      </c>
      <c r="L994" t="b">
        <v>1</v>
      </c>
      <c r="M994" t="s">
        <v>4860</v>
      </c>
      <c r="N994" t="str">
        <f>"810.9"</f>
        <v>810.9</v>
      </c>
      <c r="P994" t="b">
        <v>1</v>
      </c>
      <c r="Q994" t="b">
        <v>0</v>
      </c>
      <c r="R994" t="str">
        <f>"9780815606604"</f>
        <v>9780815606604</v>
      </c>
      <c r="S994" t="str">
        <f>"9781938604966"</f>
        <v>9781938604966</v>
      </c>
      <c r="T994">
        <v>892244139</v>
      </c>
    </row>
    <row r="995" spans="1:20" x14ac:dyDescent="0.25">
      <c r="A995">
        <v>871650</v>
      </c>
      <c r="B995" t="s">
        <v>4864</v>
      </c>
      <c r="D995" t="s">
        <v>131</v>
      </c>
      <c r="E995" t="s">
        <v>1731</v>
      </c>
      <c r="F995">
        <v>2013</v>
      </c>
      <c r="G995" t="s">
        <v>1200</v>
      </c>
      <c r="H995" t="s">
        <v>4865</v>
      </c>
      <c r="I995" t="s">
        <v>4866</v>
      </c>
      <c r="J995" t="s">
        <v>26</v>
      </c>
      <c r="K995" t="s">
        <v>48</v>
      </c>
      <c r="L995" t="b">
        <v>1</v>
      </c>
      <c r="M995" t="s">
        <v>4867</v>
      </c>
      <c r="N995" t="str">
        <f>"813/.54"</f>
        <v>813/.54</v>
      </c>
      <c r="P995" t="b">
        <v>1</v>
      </c>
      <c r="Q995" t="b">
        <v>0</v>
      </c>
      <c r="R995" t="str">
        <f>"9781938604256"</f>
        <v>9781938604256</v>
      </c>
      <c r="S995" t="str">
        <f>"9781938604263"</f>
        <v>9781938604263</v>
      </c>
      <c r="T995">
        <v>867770214</v>
      </c>
    </row>
    <row r="996" spans="1:20" x14ac:dyDescent="0.25">
      <c r="A996">
        <v>871621</v>
      </c>
      <c r="B996" t="s">
        <v>4868</v>
      </c>
      <c r="D996" t="s">
        <v>131</v>
      </c>
      <c r="E996" t="s">
        <v>1731</v>
      </c>
      <c r="F996">
        <v>2014</v>
      </c>
      <c r="G996" t="s">
        <v>1968</v>
      </c>
      <c r="H996" t="s">
        <v>4869</v>
      </c>
      <c r="I996" t="s">
        <v>4870</v>
      </c>
      <c r="J996" t="s">
        <v>26</v>
      </c>
      <c r="K996" t="s">
        <v>48</v>
      </c>
      <c r="L996" t="b">
        <v>1</v>
      </c>
      <c r="M996" t="s">
        <v>4871</v>
      </c>
      <c r="N996" t="str">
        <f>"814.54;814/.54"</f>
        <v>814.54;814/.54</v>
      </c>
      <c r="P996" t="b">
        <v>1</v>
      </c>
      <c r="Q996" t="b">
        <v>0</v>
      </c>
      <c r="R996" t="str">
        <f>"9780878056729"</f>
        <v>9780878056729</v>
      </c>
      <c r="S996" t="str">
        <f>"9781938604973"</f>
        <v>9781938604973</v>
      </c>
      <c r="T996">
        <v>892244230</v>
      </c>
    </row>
    <row r="997" spans="1:20" x14ac:dyDescent="0.25">
      <c r="A997">
        <v>868116</v>
      </c>
      <c r="B997" t="s">
        <v>4872</v>
      </c>
      <c r="C997" t="s">
        <v>4873</v>
      </c>
      <c r="D997" t="s">
        <v>91</v>
      </c>
      <c r="E997" t="s">
        <v>92</v>
      </c>
      <c r="F997">
        <v>2014</v>
      </c>
      <c r="G997" t="s">
        <v>4275</v>
      </c>
      <c r="H997" t="s">
        <v>4874</v>
      </c>
      <c r="I997" t="s">
        <v>4875</v>
      </c>
      <c r="J997" t="s">
        <v>26</v>
      </c>
      <c r="K997" t="s">
        <v>86</v>
      </c>
      <c r="L997" t="b">
        <v>1</v>
      </c>
      <c r="M997" t="s">
        <v>4876</v>
      </c>
      <c r="N997" t="str">
        <f>"617.4/8;617.48"</f>
        <v>617.4/8;617.48</v>
      </c>
      <c r="P997" t="b">
        <v>0</v>
      </c>
      <c r="R997" t="str">
        <f>"9781604067576"</f>
        <v>9781604067576</v>
      </c>
      <c r="S997" t="str">
        <f>"9781604067583"</f>
        <v>9781604067583</v>
      </c>
      <c r="T997">
        <v>893332903</v>
      </c>
    </row>
    <row r="998" spans="1:20" x14ac:dyDescent="0.25">
      <c r="A998">
        <v>857559</v>
      </c>
      <c r="B998" t="s">
        <v>4877</v>
      </c>
      <c r="C998" t="s">
        <v>4878</v>
      </c>
      <c r="D998" t="s">
        <v>2256</v>
      </c>
      <c r="E998" t="s">
        <v>2257</v>
      </c>
      <c r="F998">
        <v>2010</v>
      </c>
      <c r="G998" t="s">
        <v>4879</v>
      </c>
      <c r="H998" t="s">
        <v>4880</v>
      </c>
      <c r="J998" t="s">
        <v>26</v>
      </c>
      <c r="K998" t="s">
        <v>48</v>
      </c>
      <c r="L998" t="b">
        <v>1</v>
      </c>
      <c r="M998" t="s">
        <v>4881</v>
      </c>
      <c r="N998" t="str">
        <f>"224/.061"</f>
        <v>224/.061</v>
      </c>
      <c r="P998" t="b">
        <v>0</v>
      </c>
      <c r="S998" t="str">
        <f>"9781426719554"</f>
        <v>9781426719554</v>
      </c>
      <c r="T998">
        <v>768099755</v>
      </c>
    </row>
    <row r="999" spans="1:20" x14ac:dyDescent="0.25">
      <c r="A999">
        <v>857335</v>
      </c>
      <c r="B999" t="s">
        <v>4882</v>
      </c>
      <c r="D999" t="s">
        <v>2256</v>
      </c>
      <c r="E999" t="s">
        <v>4883</v>
      </c>
      <c r="F999">
        <v>2013</v>
      </c>
      <c r="G999" t="s">
        <v>4884</v>
      </c>
      <c r="H999" t="s">
        <v>4885</v>
      </c>
      <c r="I999" t="s">
        <v>4886</v>
      </c>
      <c r="J999" t="s">
        <v>26</v>
      </c>
      <c r="K999" t="s">
        <v>48</v>
      </c>
      <c r="L999" t="b">
        <v>1</v>
      </c>
      <c r="M999" t="s">
        <v>4887</v>
      </c>
      <c r="N999" t="str">
        <f>"287/.6092"</f>
        <v>287/.6092</v>
      </c>
      <c r="P999" t="b">
        <v>0</v>
      </c>
      <c r="S999" t="str">
        <f>"9781426771248"</f>
        <v>9781426771248</v>
      </c>
      <c r="T999">
        <v>893438825</v>
      </c>
    </row>
    <row r="1000" spans="1:20" x14ac:dyDescent="0.25">
      <c r="A1000">
        <v>857246</v>
      </c>
      <c r="B1000" t="s">
        <v>4888</v>
      </c>
      <c r="C1000" t="s">
        <v>4889</v>
      </c>
      <c r="D1000" t="s">
        <v>2256</v>
      </c>
      <c r="E1000" t="s">
        <v>2257</v>
      </c>
      <c r="F1000">
        <v>2014</v>
      </c>
      <c r="G1000" t="s">
        <v>4890</v>
      </c>
      <c r="H1000" t="s">
        <v>4891</v>
      </c>
      <c r="J1000" t="s">
        <v>26</v>
      </c>
      <c r="K1000" t="s">
        <v>48</v>
      </c>
      <c r="L1000" t="b">
        <v>1</v>
      </c>
      <c r="M1000" t="s">
        <v>4892</v>
      </c>
      <c r="N1000" t="str">
        <f>"220.6/1"</f>
        <v>220.6/1</v>
      </c>
      <c r="P1000" t="b">
        <v>0</v>
      </c>
      <c r="S1000" t="str">
        <f>"9781426751165"</f>
        <v>9781426751165</v>
      </c>
      <c r="T1000">
        <v>867717064</v>
      </c>
    </row>
    <row r="1001" spans="1:20" x14ac:dyDescent="0.25">
      <c r="A1001">
        <v>857152</v>
      </c>
      <c r="B1001" t="s">
        <v>4893</v>
      </c>
      <c r="C1001" t="s">
        <v>4894</v>
      </c>
      <c r="D1001" t="s">
        <v>2256</v>
      </c>
      <c r="E1001" t="s">
        <v>2257</v>
      </c>
      <c r="F1001">
        <v>2010</v>
      </c>
      <c r="G1001" t="s">
        <v>4895</v>
      </c>
      <c r="H1001" t="s">
        <v>4896</v>
      </c>
      <c r="I1001" t="s">
        <v>4897</v>
      </c>
      <c r="J1001" t="s">
        <v>26</v>
      </c>
      <c r="K1001" t="s">
        <v>48</v>
      </c>
      <c r="L1001" t="b">
        <v>1</v>
      </c>
      <c r="M1001" t="s">
        <v>4898</v>
      </c>
      <c r="N1001" t="str">
        <f>"236/.9"</f>
        <v>236/.9</v>
      </c>
      <c r="P1001" t="b">
        <v>0</v>
      </c>
      <c r="S1001" t="str">
        <f>"9781426719967"</f>
        <v>9781426719967</v>
      </c>
      <c r="T1001">
        <v>769187355</v>
      </c>
    </row>
    <row r="1002" spans="1:20" x14ac:dyDescent="0.25">
      <c r="A1002">
        <v>857125</v>
      </c>
      <c r="B1002" t="s">
        <v>4899</v>
      </c>
      <c r="D1002" t="s">
        <v>2256</v>
      </c>
      <c r="E1002" t="s">
        <v>2257</v>
      </c>
      <c r="F1002">
        <v>2010</v>
      </c>
      <c r="G1002" t="s">
        <v>4900</v>
      </c>
      <c r="H1002" t="s">
        <v>4901</v>
      </c>
      <c r="J1002" t="s">
        <v>26</v>
      </c>
      <c r="K1002" t="s">
        <v>48</v>
      </c>
      <c r="L1002" t="b">
        <v>1</v>
      </c>
      <c r="M1002" t="s">
        <v>4902</v>
      </c>
      <c r="N1002" t="str">
        <f>"225.6088/287"</f>
        <v>225.6088/287</v>
      </c>
      <c r="P1002" t="b">
        <v>0</v>
      </c>
      <c r="S1002" t="str">
        <f>"9781426719912"</f>
        <v>9781426719912</v>
      </c>
      <c r="T1002">
        <v>893092626</v>
      </c>
    </row>
    <row r="1003" spans="1:20" x14ac:dyDescent="0.25">
      <c r="A1003">
        <v>857115</v>
      </c>
      <c r="B1003" t="s">
        <v>4903</v>
      </c>
      <c r="C1003" t="s">
        <v>4904</v>
      </c>
      <c r="D1003" t="s">
        <v>2256</v>
      </c>
      <c r="E1003" t="s">
        <v>2257</v>
      </c>
      <c r="F1003">
        <v>2010</v>
      </c>
      <c r="G1003" t="s">
        <v>4905</v>
      </c>
      <c r="H1003" t="s">
        <v>4906</v>
      </c>
      <c r="J1003" t="s">
        <v>26</v>
      </c>
      <c r="K1003" t="s">
        <v>48</v>
      </c>
      <c r="L1003" t="b">
        <v>1</v>
      </c>
      <c r="M1003" t="s">
        <v>4907</v>
      </c>
      <c r="N1003" t="str">
        <f>"223/.2066"</f>
        <v>223/.2066</v>
      </c>
      <c r="O1003" t="s">
        <v>4908</v>
      </c>
      <c r="P1003" t="b">
        <v>0</v>
      </c>
      <c r="S1003" t="str">
        <f>"9781426719066"</f>
        <v>9781426719066</v>
      </c>
      <c r="T1003">
        <v>768134159</v>
      </c>
    </row>
    <row r="1004" spans="1:20" x14ac:dyDescent="0.25">
      <c r="A1004">
        <v>857045</v>
      </c>
      <c r="B1004" t="s">
        <v>4909</v>
      </c>
      <c r="C1004" t="s">
        <v>316</v>
      </c>
      <c r="D1004" t="s">
        <v>2256</v>
      </c>
      <c r="E1004" t="s">
        <v>2257</v>
      </c>
      <c r="F1004">
        <v>2009</v>
      </c>
      <c r="G1004" t="s">
        <v>4910</v>
      </c>
      <c r="H1004" t="s">
        <v>4911</v>
      </c>
      <c r="J1004" t="s">
        <v>26</v>
      </c>
      <c r="K1004" t="s">
        <v>48</v>
      </c>
      <c r="L1004" t="b">
        <v>1</v>
      </c>
      <c r="M1004" t="s">
        <v>4912</v>
      </c>
      <c r="N1004" t="str">
        <f>"230/.0415"</f>
        <v>230/.0415</v>
      </c>
      <c r="O1004" t="s">
        <v>4913</v>
      </c>
      <c r="P1004" t="b">
        <v>0</v>
      </c>
      <c r="S1004" t="str">
        <f>"9781426719882"</f>
        <v>9781426719882</v>
      </c>
      <c r="T1004">
        <v>893436945</v>
      </c>
    </row>
    <row r="1005" spans="1:20" x14ac:dyDescent="0.25">
      <c r="A1005">
        <v>857016</v>
      </c>
      <c r="B1005" t="s">
        <v>4914</v>
      </c>
      <c r="C1005" t="s">
        <v>4915</v>
      </c>
      <c r="D1005" t="s">
        <v>2256</v>
      </c>
      <c r="E1005" t="s">
        <v>4883</v>
      </c>
      <c r="F1005">
        <v>2011</v>
      </c>
      <c r="G1005" t="s">
        <v>4916</v>
      </c>
      <c r="H1005" t="s">
        <v>4917</v>
      </c>
      <c r="J1005" t="s">
        <v>26</v>
      </c>
      <c r="K1005" t="s">
        <v>48</v>
      </c>
      <c r="L1005" t="b">
        <v>1</v>
      </c>
      <c r="M1005" t="s">
        <v>4918</v>
      </c>
      <c r="N1005" t="str">
        <f>"289.9"</f>
        <v>289.9</v>
      </c>
      <c r="P1005" t="b">
        <v>0</v>
      </c>
      <c r="S1005" t="str">
        <f>"9781426746109"</f>
        <v>9781426746109</v>
      </c>
      <c r="T1005">
        <v>893239269</v>
      </c>
    </row>
    <row r="1006" spans="1:20" x14ac:dyDescent="0.25">
      <c r="A1006">
        <v>856983</v>
      </c>
      <c r="B1006" t="s">
        <v>4919</v>
      </c>
      <c r="C1006" t="s">
        <v>4920</v>
      </c>
      <c r="D1006" t="s">
        <v>2256</v>
      </c>
      <c r="E1006" t="s">
        <v>2257</v>
      </c>
      <c r="F1006">
        <v>2001</v>
      </c>
      <c r="G1006" t="s">
        <v>4900</v>
      </c>
      <c r="H1006" t="s">
        <v>4921</v>
      </c>
      <c r="I1006" t="s">
        <v>4922</v>
      </c>
      <c r="J1006" t="s">
        <v>26</v>
      </c>
      <c r="K1006" t="s">
        <v>48</v>
      </c>
      <c r="L1006" t="b">
        <v>1</v>
      </c>
      <c r="M1006" t="s">
        <v>4923</v>
      </c>
      <c r="N1006" t="str">
        <f>"230/.76"</f>
        <v>230/.76</v>
      </c>
      <c r="P1006" t="b">
        <v>0</v>
      </c>
      <c r="S1006" t="str">
        <f>"9781426756504"</f>
        <v>9781426756504</v>
      </c>
      <c r="T1006">
        <v>785778904</v>
      </c>
    </row>
    <row r="1007" spans="1:20" x14ac:dyDescent="0.25">
      <c r="A1007">
        <v>856972</v>
      </c>
      <c r="B1007" t="s">
        <v>4924</v>
      </c>
      <c r="C1007" t="s">
        <v>4925</v>
      </c>
      <c r="D1007" t="s">
        <v>2256</v>
      </c>
      <c r="E1007" t="s">
        <v>2257</v>
      </c>
      <c r="F1007">
        <v>2014</v>
      </c>
      <c r="G1007" t="s">
        <v>4926</v>
      </c>
      <c r="H1007" t="s">
        <v>4927</v>
      </c>
      <c r="I1007" t="s">
        <v>4928</v>
      </c>
      <c r="J1007" t="s">
        <v>26</v>
      </c>
      <c r="K1007" t="s">
        <v>48</v>
      </c>
      <c r="L1007" t="b">
        <v>1</v>
      </c>
      <c r="M1007" t="s">
        <v>4929</v>
      </c>
      <c r="N1007" t="str">
        <f>"277.30089/96073"</f>
        <v>277.30089/96073</v>
      </c>
      <c r="P1007" t="b">
        <v>0</v>
      </c>
      <c r="S1007" t="str">
        <f>"9781426786822"</f>
        <v>9781426786822</v>
      </c>
      <c r="T1007">
        <v>870248802</v>
      </c>
    </row>
    <row r="1008" spans="1:20" x14ac:dyDescent="0.25">
      <c r="A1008">
        <v>856896</v>
      </c>
      <c r="B1008" t="s">
        <v>4930</v>
      </c>
      <c r="C1008" t="s">
        <v>4931</v>
      </c>
      <c r="D1008" t="s">
        <v>2256</v>
      </c>
      <c r="E1008" t="s">
        <v>2257</v>
      </c>
      <c r="F1008">
        <v>2010</v>
      </c>
      <c r="G1008" t="s">
        <v>1478</v>
      </c>
      <c r="H1008" t="s">
        <v>4932</v>
      </c>
      <c r="I1008" t="s">
        <v>4933</v>
      </c>
      <c r="J1008" t="s">
        <v>26</v>
      </c>
      <c r="K1008" t="s">
        <v>48</v>
      </c>
      <c r="L1008" t="b">
        <v>1</v>
      </c>
      <c r="M1008" t="s">
        <v>4934</v>
      </c>
      <c r="N1008" t="str">
        <f>"200"</f>
        <v>200</v>
      </c>
      <c r="P1008" t="b">
        <v>0</v>
      </c>
      <c r="S1008" t="str">
        <f>"9781426719769"</f>
        <v>9781426719769</v>
      </c>
      <c r="T1008">
        <v>891953550</v>
      </c>
    </row>
    <row r="1009" spans="1:20" x14ac:dyDescent="0.25">
      <c r="A1009">
        <v>856734</v>
      </c>
      <c r="B1009" t="s">
        <v>4935</v>
      </c>
      <c r="D1009" t="s">
        <v>2256</v>
      </c>
      <c r="E1009" t="s">
        <v>2257</v>
      </c>
      <c r="F1009">
        <v>2010</v>
      </c>
      <c r="G1009" t="s">
        <v>4895</v>
      </c>
      <c r="H1009" t="s">
        <v>4936</v>
      </c>
      <c r="I1009" t="s">
        <v>4937</v>
      </c>
      <c r="J1009" t="s">
        <v>26</v>
      </c>
      <c r="K1009" t="s">
        <v>48</v>
      </c>
      <c r="L1009" t="b">
        <v>1</v>
      </c>
      <c r="M1009" t="s">
        <v>4938</v>
      </c>
      <c r="N1009" t="str">
        <f>"231"</f>
        <v>231</v>
      </c>
      <c r="O1009" t="s">
        <v>4939</v>
      </c>
      <c r="P1009" t="b">
        <v>0</v>
      </c>
      <c r="S1009" t="str">
        <f>"9781426719547"</f>
        <v>9781426719547</v>
      </c>
      <c r="T1009">
        <v>891464651</v>
      </c>
    </row>
    <row r="1010" spans="1:20" x14ac:dyDescent="0.25">
      <c r="A1010">
        <v>856733</v>
      </c>
      <c r="B1010" t="s">
        <v>4940</v>
      </c>
      <c r="C1010" t="s">
        <v>4941</v>
      </c>
      <c r="D1010" t="s">
        <v>2256</v>
      </c>
      <c r="E1010" t="s">
        <v>2257</v>
      </c>
      <c r="F1010">
        <v>2010</v>
      </c>
      <c r="G1010" t="s">
        <v>4942</v>
      </c>
      <c r="H1010" t="s">
        <v>4943</v>
      </c>
      <c r="I1010" t="s">
        <v>4944</v>
      </c>
      <c r="J1010" t="s">
        <v>26</v>
      </c>
      <c r="K1010" t="s">
        <v>48</v>
      </c>
      <c r="L1010" t="b">
        <v>1</v>
      </c>
      <c r="M1010" t="s">
        <v>4945</v>
      </c>
      <c r="N1010" t="str">
        <f>"231.7/65"</f>
        <v>231.7/65</v>
      </c>
      <c r="P1010" t="b">
        <v>0</v>
      </c>
      <c r="S1010" t="str">
        <f>"9781426719455"</f>
        <v>9781426719455</v>
      </c>
      <c r="T1010">
        <v>907373871</v>
      </c>
    </row>
    <row r="1011" spans="1:20" x14ac:dyDescent="0.25">
      <c r="A1011">
        <v>856730</v>
      </c>
      <c r="B1011" t="s">
        <v>4946</v>
      </c>
      <c r="D1011" t="s">
        <v>2256</v>
      </c>
      <c r="E1011" t="s">
        <v>2257</v>
      </c>
      <c r="F1011">
        <v>2010</v>
      </c>
      <c r="G1011" t="s">
        <v>4477</v>
      </c>
      <c r="H1011" t="s">
        <v>4947</v>
      </c>
      <c r="I1011" t="s">
        <v>4948</v>
      </c>
      <c r="J1011" t="s">
        <v>26</v>
      </c>
      <c r="K1011" t="s">
        <v>48</v>
      </c>
      <c r="L1011" t="b">
        <v>1</v>
      </c>
      <c r="M1011" t="s">
        <v>4949</v>
      </c>
      <c r="N1011" t="str">
        <f>"261.8"</f>
        <v>261.8</v>
      </c>
      <c r="O1011" t="s">
        <v>4950</v>
      </c>
      <c r="P1011" t="b">
        <v>0</v>
      </c>
      <c r="S1011" t="str">
        <f>"9781426720062"</f>
        <v>9781426720062</v>
      </c>
      <c r="T1011">
        <v>891464865</v>
      </c>
    </row>
    <row r="1012" spans="1:20" x14ac:dyDescent="0.25">
      <c r="A1012">
        <v>856543</v>
      </c>
      <c r="B1012" t="s">
        <v>4951</v>
      </c>
      <c r="C1012" t="s">
        <v>4952</v>
      </c>
      <c r="D1012" t="s">
        <v>2256</v>
      </c>
      <c r="E1012" t="s">
        <v>2257</v>
      </c>
      <c r="F1012">
        <v>2013</v>
      </c>
      <c r="G1012" t="s">
        <v>4477</v>
      </c>
      <c r="H1012" t="s">
        <v>4953</v>
      </c>
      <c r="I1012" t="s">
        <v>4954</v>
      </c>
      <c r="J1012" t="s">
        <v>26</v>
      </c>
      <c r="K1012" t="s">
        <v>48</v>
      </c>
      <c r="L1012" t="b">
        <v>1</v>
      </c>
      <c r="M1012" t="s">
        <v>4955</v>
      </c>
      <c r="N1012" t="str">
        <f>"230/.7"</f>
        <v>230/.7</v>
      </c>
      <c r="P1012" t="b">
        <v>0</v>
      </c>
      <c r="S1012" t="str">
        <f>"9781426775062"</f>
        <v>9781426775062</v>
      </c>
      <c r="T1012">
        <v>858672861</v>
      </c>
    </row>
    <row r="1013" spans="1:20" x14ac:dyDescent="0.25">
      <c r="A1013">
        <v>856419</v>
      </c>
      <c r="B1013" t="s">
        <v>4956</v>
      </c>
      <c r="D1013" t="s">
        <v>2256</v>
      </c>
      <c r="E1013" t="s">
        <v>2257</v>
      </c>
      <c r="F1013">
        <v>2012</v>
      </c>
      <c r="G1013" t="s">
        <v>4905</v>
      </c>
      <c r="H1013" t="s">
        <v>4957</v>
      </c>
      <c r="J1013" t="s">
        <v>26</v>
      </c>
      <c r="K1013" t="s">
        <v>48</v>
      </c>
      <c r="L1013" t="b">
        <v>1</v>
      </c>
      <c r="M1013" t="s">
        <v>4958</v>
      </c>
      <c r="N1013" t="str">
        <f>"222/.3507"</f>
        <v>222/.3507</v>
      </c>
      <c r="O1013" t="s">
        <v>4959</v>
      </c>
      <c r="P1013" t="b">
        <v>0</v>
      </c>
      <c r="S1013" t="str">
        <f>"9781426758461"</f>
        <v>9781426758461</v>
      </c>
      <c r="T1013">
        <v>904547477</v>
      </c>
    </row>
    <row r="1014" spans="1:20" x14ac:dyDescent="0.25">
      <c r="A1014">
        <v>856409</v>
      </c>
      <c r="B1014" t="s">
        <v>4960</v>
      </c>
      <c r="D1014" t="s">
        <v>2256</v>
      </c>
      <c r="E1014" t="s">
        <v>2257</v>
      </c>
      <c r="F1014">
        <v>2010</v>
      </c>
      <c r="G1014" t="s">
        <v>4905</v>
      </c>
      <c r="H1014" t="s">
        <v>4961</v>
      </c>
      <c r="J1014" t="s">
        <v>26</v>
      </c>
      <c r="K1014" t="s">
        <v>48</v>
      </c>
      <c r="L1014" t="b">
        <v>1</v>
      </c>
      <c r="M1014" t="s">
        <v>4962</v>
      </c>
      <c r="N1014" t="str">
        <f>"224/.407"</f>
        <v>224/.407</v>
      </c>
      <c r="O1014" t="s">
        <v>4959</v>
      </c>
      <c r="P1014" t="b">
        <v>0</v>
      </c>
      <c r="S1014" t="str">
        <f>"9781426761355"</f>
        <v>9781426761355</v>
      </c>
      <c r="T1014">
        <v>904547481</v>
      </c>
    </row>
    <row r="1015" spans="1:20" x14ac:dyDescent="0.25">
      <c r="A1015">
        <v>856400</v>
      </c>
      <c r="B1015" t="s">
        <v>4963</v>
      </c>
      <c r="D1015" t="s">
        <v>2256</v>
      </c>
      <c r="E1015" t="s">
        <v>2257</v>
      </c>
      <c r="F1015">
        <v>2011</v>
      </c>
      <c r="G1015" t="s">
        <v>4964</v>
      </c>
      <c r="H1015" t="s">
        <v>4965</v>
      </c>
      <c r="J1015" t="s">
        <v>26</v>
      </c>
      <c r="K1015" t="s">
        <v>48</v>
      </c>
      <c r="L1015" t="b">
        <v>1</v>
      </c>
      <c r="M1015" t="s">
        <v>4966</v>
      </c>
      <c r="N1015" t="str">
        <f>"226.3/07"</f>
        <v>226.3/07</v>
      </c>
      <c r="O1015" t="s">
        <v>4967</v>
      </c>
      <c r="P1015" t="b">
        <v>0</v>
      </c>
      <c r="S1015" t="str">
        <f>"9781426750199"</f>
        <v>9781426750199</v>
      </c>
      <c r="T1015">
        <v>904547466</v>
      </c>
    </row>
    <row r="1016" spans="1:20" x14ac:dyDescent="0.25">
      <c r="A1016">
        <v>856379</v>
      </c>
      <c r="B1016" t="s">
        <v>4968</v>
      </c>
      <c r="C1016" t="s">
        <v>4008</v>
      </c>
      <c r="D1016" t="s">
        <v>2256</v>
      </c>
      <c r="E1016" t="s">
        <v>2257</v>
      </c>
      <c r="F1016">
        <v>2005</v>
      </c>
      <c r="G1016" t="s">
        <v>4942</v>
      </c>
      <c r="H1016" t="s">
        <v>4969</v>
      </c>
      <c r="J1016" t="s">
        <v>26</v>
      </c>
      <c r="K1016" t="s">
        <v>48</v>
      </c>
      <c r="L1016" t="b">
        <v>1</v>
      </c>
      <c r="M1016" t="s">
        <v>4970</v>
      </c>
      <c r="N1016" t="str">
        <f>"230.0411"</f>
        <v>230.0411</v>
      </c>
      <c r="P1016" t="b">
        <v>0</v>
      </c>
      <c r="S1016" t="str">
        <f>"9781426721977"</f>
        <v>9781426721977</v>
      </c>
      <c r="T1016">
        <v>898475081</v>
      </c>
    </row>
    <row r="1017" spans="1:20" x14ac:dyDescent="0.25">
      <c r="A1017">
        <v>856358</v>
      </c>
      <c r="B1017" t="s">
        <v>4971</v>
      </c>
      <c r="D1017" t="s">
        <v>2256</v>
      </c>
      <c r="E1017" t="s">
        <v>2257</v>
      </c>
      <c r="F1017">
        <v>2012</v>
      </c>
      <c r="G1017" t="s">
        <v>4916</v>
      </c>
      <c r="H1017" t="s">
        <v>4972</v>
      </c>
      <c r="I1017" t="s">
        <v>4973</v>
      </c>
      <c r="J1017" t="s">
        <v>26</v>
      </c>
      <c r="K1017" t="s">
        <v>48</v>
      </c>
      <c r="L1017" t="b">
        <v>1</v>
      </c>
      <c r="M1017" t="s">
        <v>4974</v>
      </c>
      <c r="N1017" t="str">
        <f>"270.09"</f>
        <v>270.09</v>
      </c>
      <c r="P1017" t="b">
        <v>0</v>
      </c>
      <c r="S1017" t="str">
        <f>"9781426719141"</f>
        <v>9781426719141</v>
      </c>
      <c r="T1017">
        <v>898892803</v>
      </c>
    </row>
    <row r="1018" spans="1:20" x14ac:dyDescent="0.25">
      <c r="A1018">
        <v>856340</v>
      </c>
      <c r="B1018" t="s">
        <v>4975</v>
      </c>
      <c r="C1018" t="s">
        <v>4976</v>
      </c>
      <c r="D1018" t="s">
        <v>2256</v>
      </c>
      <c r="E1018" t="s">
        <v>4883</v>
      </c>
      <c r="F1018">
        <v>2013</v>
      </c>
      <c r="G1018" t="s">
        <v>4900</v>
      </c>
      <c r="H1018" t="s">
        <v>4977</v>
      </c>
      <c r="I1018" t="s">
        <v>4886</v>
      </c>
      <c r="J1018" t="s">
        <v>26</v>
      </c>
      <c r="K1018" t="s">
        <v>48</v>
      </c>
      <c r="L1018" t="b">
        <v>1</v>
      </c>
      <c r="M1018" t="s">
        <v>4978</v>
      </c>
      <c r="N1018" t="str">
        <f>"287"</f>
        <v>287</v>
      </c>
      <c r="P1018" t="b">
        <v>0</v>
      </c>
      <c r="S1018" t="str">
        <f>"9781426766497"</f>
        <v>9781426766497</v>
      </c>
      <c r="T1018">
        <v>855362828</v>
      </c>
    </row>
    <row r="1019" spans="1:20" x14ac:dyDescent="0.25">
      <c r="A1019">
        <v>856317</v>
      </c>
      <c r="B1019" t="s">
        <v>4979</v>
      </c>
      <c r="D1019" t="s">
        <v>2256</v>
      </c>
      <c r="E1019" t="s">
        <v>2257</v>
      </c>
      <c r="F1019">
        <v>2005</v>
      </c>
      <c r="G1019" t="s">
        <v>4916</v>
      </c>
      <c r="H1019" t="s">
        <v>4980</v>
      </c>
      <c r="I1019" t="s">
        <v>4981</v>
      </c>
      <c r="J1019" t="s">
        <v>26</v>
      </c>
      <c r="K1019" t="s">
        <v>48</v>
      </c>
      <c r="L1019" t="b">
        <v>1</v>
      </c>
      <c r="M1019" t="s">
        <v>4982</v>
      </c>
      <c r="N1019" t="str">
        <f>"230/.09"</f>
        <v>230/.09</v>
      </c>
      <c r="P1019" t="b">
        <v>0</v>
      </c>
      <c r="S1019" t="str">
        <f>"9781426719462"</f>
        <v>9781426719462</v>
      </c>
      <c r="T1019">
        <v>893425187</v>
      </c>
    </row>
    <row r="1020" spans="1:20" x14ac:dyDescent="0.25">
      <c r="A1020">
        <v>856314</v>
      </c>
      <c r="B1020" t="s">
        <v>4983</v>
      </c>
      <c r="D1020" t="s">
        <v>2256</v>
      </c>
      <c r="E1020" t="s">
        <v>2257</v>
      </c>
      <c r="F1020">
        <v>1993</v>
      </c>
      <c r="G1020" t="s">
        <v>4984</v>
      </c>
      <c r="H1020" t="s">
        <v>4985</v>
      </c>
      <c r="I1020" t="s">
        <v>4986</v>
      </c>
      <c r="J1020" t="s">
        <v>26</v>
      </c>
      <c r="K1020" t="s">
        <v>48</v>
      </c>
      <c r="L1020" t="b">
        <v>1</v>
      </c>
      <c r="M1020" t="s">
        <v>4987</v>
      </c>
      <c r="N1020" t="str">
        <f>"264/.009"</f>
        <v>264/.009</v>
      </c>
      <c r="P1020" t="b">
        <v>0</v>
      </c>
      <c r="S1020" t="str">
        <f>"9781426715662"</f>
        <v>9781426715662</v>
      </c>
      <c r="T1020">
        <v>893126409</v>
      </c>
    </row>
    <row r="1021" spans="1:20" x14ac:dyDescent="0.25">
      <c r="A1021">
        <v>852715</v>
      </c>
      <c r="B1021" t="s">
        <v>4988</v>
      </c>
      <c r="D1021" t="s">
        <v>1364</v>
      </c>
      <c r="E1021" t="s">
        <v>2275</v>
      </c>
      <c r="F1021">
        <v>2014</v>
      </c>
      <c r="G1021" t="s">
        <v>4329</v>
      </c>
      <c r="H1021" t="s">
        <v>4989</v>
      </c>
      <c r="I1021" t="s">
        <v>4990</v>
      </c>
      <c r="J1021" t="s">
        <v>26</v>
      </c>
      <c r="K1021" t="s">
        <v>27</v>
      </c>
      <c r="L1021" t="b">
        <v>1</v>
      </c>
      <c r="M1021" t="s">
        <v>4991</v>
      </c>
      <c r="N1021" t="str">
        <f>"419.94"</f>
        <v>419.94</v>
      </c>
      <c r="O1021" t="s">
        <v>4992</v>
      </c>
      <c r="P1021" t="b">
        <v>0</v>
      </c>
      <c r="R1021" t="str">
        <f>"9781614517337"</f>
        <v>9781614517337</v>
      </c>
      <c r="S1021" t="str">
        <f>"9781614518976"</f>
        <v>9781614518976</v>
      </c>
      <c r="T1021">
        <v>879400422</v>
      </c>
    </row>
    <row r="1022" spans="1:20" x14ac:dyDescent="0.25">
      <c r="A1022">
        <v>852147</v>
      </c>
      <c r="B1022" t="s">
        <v>4993</v>
      </c>
      <c r="D1022" t="s">
        <v>22</v>
      </c>
      <c r="E1022" t="s">
        <v>22</v>
      </c>
      <c r="F1022">
        <v>2014</v>
      </c>
      <c r="G1022" t="s">
        <v>182</v>
      </c>
      <c r="H1022" t="s">
        <v>4994</v>
      </c>
      <c r="I1022" t="s">
        <v>4995</v>
      </c>
      <c r="J1022" t="s">
        <v>26</v>
      </c>
      <c r="K1022" t="s">
        <v>27</v>
      </c>
      <c r="L1022" t="b">
        <v>1</v>
      </c>
      <c r="M1022" t="s">
        <v>4996</v>
      </c>
      <c r="N1022" t="str">
        <f>"509"</f>
        <v>509</v>
      </c>
      <c r="O1022" t="s">
        <v>4997</v>
      </c>
      <c r="P1022" t="b">
        <v>0</v>
      </c>
      <c r="Q1022" t="b">
        <v>0</v>
      </c>
      <c r="R1022" t="str">
        <f>"9789089645166"</f>
        <v>9789089645166</v>
      </c>
      <c r="S1022" t="str">
        <f>"9789048518449"</f>
        <v>9789048518449</v>
      </c>
      <c r="T1022">
        <v>892072826</v>
      </c>
    </row>
    <row r="1023" spans="1:20" x14ac:dyDescent="0.25">
      <c r="A1023">
        <v>852145</v>
      </c>
      <c r="B1023" t="s">
        <v>4998</v>
      </c>
      <c r="D1023" t="s">
        <v>22</v>
      </c>
      <c r="E1023" t="s">
        <v>22</v>
      </c>
      <c r="F1023">
        <v>2014</v>
      </c>
      <c r="G1023" t="s">
        <v>57</v>
      </c>
      <c r="H1023" t="s">
        <v>4999</v>
      </c>
      <c r="I1023" t="s">
        <v>5000</v>
      </c>
      <c r="J1023" t="s">
        <v>26</v>
      </c>
      <c r="K1023" t="s">
        <v>27</v>
      </c>
      <c r="L1023" t="b">
        <v>1</v>
      </c>
      <c r="M1023" t="s">
        <v>5001</v>
      </c>
      <c r="N1023" t="str">
        <f>"940.5"</f>
        <v>940.5</v>
      </c>
      <c r="O1023" t="s">
        <v>5002</v>
      </c>
      <c r="P1023" t="b">
        <v>0</v>
      </c>
      <c r="Q1023" t="b">
        <v>0</v>
      </c>
      <c r="R1023" t="str">
        <f>"9789089646439"</f>
        <v>9789089646439</v>
      </c>
      <c r="S1023" t="str">
        <f>"9789048523085"</f>
        <v>9789048523085</v>
      </c>
      <c r="T1023">
        <v>892484411</v>
      </c>
    </row>
    <row r="1024" spans="1:20" x14ac:dyDescent="0.25">
      <c r="A1024">
        <v>846887</v>
      </c>
      <c r="B1024" t="s">
        <v>5003</v>
      </c>
      <c r="D1024" t="s">
        <v>2238</v>
      </c>
      <c r="E1024" t="s">
        <v>2239</v>
      </c>
      <c r="F1024">
        <v>2013</v>
      </c>
      <c r="G1024" t="s">
        <v>72</v>
      </c>
      <c r="H1024" t="s">
        <v>5004</v>
      </c>
      <c r="I1024" t="s">
        <v>5005</v>
      </c>
      <c r="J1024" t="s">
        <v>26</v>
      </c>
      <c r="K1024" t="s">
        <v>86</v>
      </c>
      <c r="L1024" t="b">
        <v>1</v>
      </c>
      <c r="M1024" t="s">
        <v>5006</v>
      </c>
      <c r="N1024" t="str">
        <f>"791.43/6164"</f>
        <v>791.43/6164</v>
      </c>
      <c r="O1024" t="s">
        <v>5007</v>
      </c>
      <c r="P1024" t="b">
        <v>0</v>
      </c>
      <c r="R1024" t="str">
        <f>"9780582437944"</f>
        <v>9780582437944</v>
      </c>
      <c r="S1024" t="str">
        <f>"9781317874102"</f>
        <v>9781317874102</v>
      </c>
      <c r="T1024">
        <v>890531361</v>
      </c>
    </row>
    <row r="1025" spans="1:20" x14ac:dyDescent="0.25">
      <c r="A1025">
        <v>842525</v>
      </c>
      <c r="B1025" t="s">
        <v>5008</v>
      </c>
      <c r="C1025" t="s">
        <v>5009</v>
      </c>
      <c r="D1025" t="s">
        <v>874</v>
      </c>
      <c r="E1025" t="s">
        <v>875</v>
      </c>
      <c r="F1025">
        <v>2014</v>
      </c>
      <c r="G1025" t="s">
        <v>4275</v>
      </c>
      <c r="H1025" t="s">
        <v>5010</v>
      </c>
      <c r="I1025" t="s">
        <v>5011</v>
      </c>
      <c r="J1025" t="s">
        <v>26</v>
      </c>
      <c r="K1025" t="s">
        <v>27</v>
      </c>
      <c r="L1025" t="b">
        <v>1</v>
      </c>
      <c r="M1025" t="s">
        <v>5012</v>
      </c>
      <c r="N1025" t="str">
        <f>"617.80068"</f>
        <v>617.80068</v>
      </c>
      <c r="P1025" t="b">
        <v>0</v>
      </c>
      <c r="S1025" t="str">
        <f>"9781597566742"</f>
        <v>9781597566742</v>
      </c>
      <c r="T1025">
        <v>890854578</v>
      </c>
    </row>
    <row r="1026" spans="1:20" x14ac:dyDescent="0.25">
      <c r="A1026">
        <v>832825</v>
      </c>
      <c r="B1026" t="s">
        <v>5013</v>
      </c>
      <c r="D1026" t="s">
        <v>1364</v>
      </c>
      <c r="E1026" t="s">
        <v>1364</v>
      </c>
      <c r="F1026">
        <v>1995</v>
      </c>
      <c r="G1026" t="s">
        <v>5014</v>
      </c>
      <c r="H1026" t="s">
        <v>5015</v>
      </c>
      <c r="I1026" t="s">
        <v>5016</v>
      </c>
      <c r="J1026" t="s">
        <v>26</v>
      </c>
      <c r="K1026" t="s">
        <v>27</v>
      </c>
      <c r="L1026" t="b">
        <v>1</v>
      </c>
      <c r="M1026" t="s">
        <v>5017</v>
      </c>
      <c r="N1026" t="str">
        <f>"515.353"</f>
        <v>515.353</v>
      </c>
      <c r="O1026" t="s">
        <v>5018</v>
      </c>
      <c r="P1026" t="b">
        <v>0</v>
      </c>
      <c r="R1026" t="str">
        <f>"9783110346664"</f>
        <v>9783110346664</v>
      </c>
      <c r="S1026" t="str">
        <f>"9783110271478"</f>
        <v>9783110271478</v>
      </c>
      <c r="T1026">
        <v>992804500</v>
      </c>
    </row>
    <row r="1027" spans="1:20" x14ac:dyDescent="0.25">
      <c r="A1027">
        <v>830783</v>
      </c>
      <c r="B1027" t="s">
        <v>5019</v>
      </c>
      <c r="D1027" t="s">
        <v>22</v>
      </c>
      <c r="E1027" t="s">
        <v>22</v>
      </c>
      <c r="F1027">
        <v>2014</v>
      </c>
      <c r="G1027" t="s">
        <v>57</v>
      </c>
      <c r="H1027" t="s">
        <v>5020</v>
      </c>
      <c r="I1027" t="s">
        <v>5021</v>
      </c>
      <c r="J1027" t="s">
        <v>26</v>
      </c>
      <c r="K1027" t="s">
        <v>27</v>
      </c>
      <c r="L1027" t="b">
        <v>1</v>
      </c>
      <c r="M1027" t="s">
        <v>5022</v>
      </c>
      <c r="N1027" t="str">
        <f>"370"</f>
        <v>370</v>
      </c>
      <c r="O1027" t="s">
        <v>5002</v>
      </c>
      <c r="P1027" t="b">
        <v>0</v>
      </c>
      <c r="Q1027" t="b">
        <v>0</v>
      </c>
      <c r="R1027" t="str">
        <f>"9789089646514"</f>
        <v>9789089646514</v>
      </c>
      <c r="S1027" t="str">
        <f>"9789048523184"</f>
        <v>9789048523184</v>
      </c>
      <c r="T1027">
        <v>890914448</v>
      </c>
    </row>
    <row r="1028" spans="1:20" x14ac:dyDescent="0.25">
      <c r="A1028">
        <v>830782</v>
      </c>
      <c r="B1028" t="s">
        <v>5023</v>
      </c>
      <c r="D1028" t="s">
        <v>22</v>
      </c>
      <c r="E1028" t="s">
        <v>22</v>
      </c>
      <c r="F1028">
        <v>2014</v>
      </c>
      <c r="G1028" t="s">
        <v>57</v>
      </c>
      <c r="H1028" t="s">
        <v>4999</v>
      </c>
      <c r="J1028" t="s">
        <v>26</v>
      </c>
      <c r="K1028" t="s">
        <v>27</v>
      </c>
      <c r="L1028" t="b">
        <v>1</v>
      </c>
      <c r="M1028" t="s">
        <v>5024</v>
      </c>
      <c r="N1028" t="str">
        <f>"940.5"</f>
        <v>940.5</v>
      </c>
      <c r="O1028" t="s">
        <v>5002</v>
      </c>
      <c r="P1028" t="b">
        <v>0</v>
      </c>
      <c r="Q1028" t="b">
        <v>0</v>
      </c>
      <c r="R1028" t="str">
        <f>"9789089646507"</f>
        <v>9789089646507</v>
      </c>
      <c r="S1028" t="str">
        <f>"9789048523177"</f>
        <v>9789048523177</v>
      </c>
      <c r="T1028">
        <v>891326929</v>
      </c>
    </row>
    <row r="1029" spans="1:20" x14ac:dyDescent="0.25">
      <c r="A1029">
        <v>830781</v>
      </c>
      <c r="B1029" t="s">
        <v>5025</v>
      </c>
      <c r="D1029" t="s">
        <v>22</v>
      </c>
      <c r="E1029" t="s">
        <v>22</v>
      </c>
      <c r="F1029">
        <v>2014</v>
      </c>
      <c r="G1029" t="s">
        <v>57</v>
      </c>
      <c r="H1029" t="s">
        <v>5026</v>
      </c>
      <c r="I1029" t="s">
        <v>5027</v>
      </c>
      <c r="J1029" t="s">
        <v>26</v>
      </c>
      <c r="K1029" t="s">
        <v>27</v>
      </c>
      <c r="L1029" t="b">
        <v>1</v>
      </c>
      <c r="M1029" t="s">
        <v>5028</v>
      </c>
      <c r="N1029" t="str">
        <f>"325.4"</f>
        <v>325.4</v>
      </c>
      <c r="O1029" t="s">
        <v>4072</v>
      </c>
      <c r="P1029" t="b">
        <v>0</v>
      </c>
      <c r="Q1029" t="b">
        <v>0</v>
      </c>
      <c r="R1029" t="str">
        <f>"9789089646491"</f>
        <v>9789089646491</v>
      </c>
      <c r="S1029" t="str">
        <f>"9789048523160"</f>
        <v>9789048523160</v>
      </c>
      <c r="T1029">
        <v>891400213</v>
      </c>
    </row>
    <row r="1030" spans="1:20" x14ac:dyDescent="0.25">
      <c r="A1030">
        <v>830181</v>
      </c>
      <c r="B1030" t="s">
        <v>5029</v>
      </c>
      <c r="C1030" t="s">
        <v>5030</v>
      </c>
      <c r="D1030" t="s">
        <v>131</v>
      </c>
      <c r="E1030" t="s">
        <v>276</v>
      </c>
      <c r="F1030">
        <v>2014</v>
      </c>
      <c r="G1030" t="s">
        <v>5031</v>
      </c>
      <c r="H1030" t="s">
        <v>5032</v>
      </c>
      <c r="I1030" t="s">
        <v>5033</v>
      </c>
      <c r="J1030" t="s">
        <v>26</v>
      </c>
      <c r="K1030" t="s">
        <v>86</v>
      </c>
      <c r="L1030" t="b">
        <v>1</v>
      </c>
      <c r="M1030" t="s">
        <v>5034</v>
      </c>
      <c r="N1030" t="str">
        <f>"972.07092"</f>
        <v>972.07092</v>
      </c>
      <c r="P1030" t="b">
        <v>0</v>
      </c>
      <c r="Q1030" t="b">
        <v>0</v>
      </c>
      <c r="R1030" t="str">
        <f>"9781595341839"</f>
        <v>9781595341839</v>
      </c>
      <c r="S1030" t="str">
        <f>"9781595341853"</f>
        <v>9781595341853</v>
      </c>
      <c r="T1030">
        <v>866858682</v>
      </c>
    </row>
    <row r="1031" spans="1:20" x14ac:dyDescent="0.25">
      <c r="A1031">
        <v>830180</v>
      </c>
      <c r="B1031" t="s">
        <v>5035</v>
      </c>
      <c r="C1031" t="s">
        <v>5036</v>
      </c>
      <c r="D1031" t="s">
        <v>131</v>
      </c>
      <c r="E1031" t="s">
        <v>276</v>
      </c>
      <c r="F1031">
        <v>2013</v>
      </c>
      <c r="G1031" t="s">
        <v>283</v>
      </c>
      <c r="H1031" t="s">
        <v>5037</v>
      </c>
      <c r="I1031" t="s">
        <v>5038</v>
      </c>
      <c r="J1031" t="s">
        <v>26</v>
      </c>
      <c r="K1031" t="s">
        <v>86</v>
      </c>
      <c r="L1031" t="b">
        <v>1</v>
      </c>
      <c r="M1031" t="s">
        <v>5039</v>
      </c>
      <c r="N1031" t="str">
        <f>"811.54"</f>
        <v>811.54</v>
      </c>
      <c r="P1031" t="b">
        <v>1</v>
      </c>
      <c r="Q1031" t="b">
        <v>0</v>
      </c>
      <c r="S1031" t="str">
        <f>"9781595341860"</f>
        <v>9781595341860</v>
      </c>
      <c r="T1031">
        <v>874179345</v>
      </c>
    </row>
    <row r="1032" spans="1:20" x14ac:dyDescent="0.25">
      <c r="A1032">
        <v>828371</v>
      </c>
      <c r="B1032" t="s">
        <v>5040</v>
      </c>
      <c r="C1032" t="s">
        <v>5041</v>
      </c>
      <c r="D1032" t="s">
        <v>131</v>
      </c>
      <c r="E1032" t="s">
        <v>276</v>
      </c>
      <c r="F1032">
        <v>2014</v>
      </c>
      <c r="G1032" t="s">
        <v>5042</v>
      </c>
      <c r="H1032" t="s">
        <v>5043</v>
      </c>
      <c r="I1032" t="s">
        <v>5044</v>
      </c>
      <c r="J1032" t="s">
        <v>26</v>
      </c>
      <c r="K1032" t="s">
        <v>86</v>
      </c>
      <c r="L1032" t="b">
        <v>1</v>
      </c>
      <c r="M1032" t="s">
        <v>5045</v>
      </c>
      <c r="N1032" t="str">
        <f>"724.6"</f>
        <v>724.6</v>
      </c>
      <c r="P1032" t="b">
        <v>0</v>
      </c>
      <c r="Q1032" t="b">
        <v>0</v>
      </c>
      <c r="R1032" t="str">
        <f>"9781595341495"</f>
        <v>9781595341495</v>
      </c>
      <c r="S1032" t="str">
        <f>"9781595341501"</f>
        <v>9781595341501</v>
      </c>
      <c r="T1032">
        <v>885121778</v>
      </c>
    </row>
    <row r="1033" spans="1:20" x14ac:dyDescent="0.25">
      <c r="A1033">
        <v>828243</v>
      </c>
      <c r="B1033" t="s">
        <v>5046</v>
      </c>
      <c r="D1033" t="s">
        <v>2238</v>
      </c>
      <c r="E1033" t="s">
        <v>2239</v>
      </c>
      <c r="F1033">
        <v>2014</v>
      </c>
      <c r="G1033" t="s">
        <v>57</v>
      </c>
      <c r="H1033" t="s">
        <v>5047</v>
      </c>
      <c r="I1033" t="s">
        <v>5048</v>
      </c>
      <c r="J1033" t="s">
        <v>26</v>
      </c>
      <c r="K1033" t="s">
        <v>86</v>
      </c>
      <c r="L1033" t="b">
        <v>1</v>
      </c>
      <c r="M1033" t="s">
        <v>5049</v>
      </c>
      <c r="N1033" t="str">
        <f>"302"</f>
        <v>302</v>
      </c>
      <c r="P1033" t="b">
        <v>0</v>
      </c>
      <c r="Q1033" t="b">
        <v>0</v>
      </c>
      <c r="R1033" t="str">
        <f>"9780813349503"</f>
        <v>9780813349503</v>
      </c>
      <c r="S1033" t="str">
        <f>"9780813349510"</f>
        <v>9780813349510</v>
      </c>
      <c r="T1033">
        <v>883566075</v>
      </c>
    </row>
    <row r="1034" spans="1:20" x14ac:dyDescent="0.25">
      <c r="A1034">
        <v>818889</v>
      </c>
      <c r="B1034" t="s">
        <v>5050</v>
      </c>
      <c r="C1034" t="s">
        <v>5051</v>
      </c>
      <c r="D1034" t="s">
        <v>5052</v>
      </c>
      <c r="E1034" t="s">
        <v>5053</v>
      </c>
      <c r="F1034">
        <v>2014</v>
      </c>
      <c r="G1034" t="s">
        <v>5054</v>
      </c>
      <c r="H1034" t="s">
        <v>5055</v>
      </c>
      <c r="I1034" t="s">
        <v>5056</v>
      </c>
      <c r="J1034" t="s">
        <v>26</v>
      </c>
      <c r="K1034" t="s">
        <v>27</v>
      </c>
      <c r="L1034" t="b">
        <v>1</v>
      </c>
      <c r="M1034" t="s">
        <v>5057</v>
      </c>
      <c r="N1034" t="str">
        <f>"940.53/180943"</f>
        <v>940.53/180943</v>
      </c>
      <c r="O1034" t="s">
        <v>5058</v>
      </c>
      <c r="P1034" t="b">
        <v>0</v>
      </c>
      <c r="R1034" t="str">
        <f>"9780801453601"</f>
        <v>9780801453601</v>
      </c>
      <c r="S1034" t="str">
        <f>"9780801471957"</f>
        <v>9780801471957</v>
      </c>
      <c r="T1034">
        <v>901048278</v>
      </c>
    </row>
    <row r="1035" spans="1:20" x14ac:dyDescent="0.25">
      <c r="A1035">
        <v>818254</v>
      </c>
      <c r="B1035" t="s">
        <v>5059</v>
      </c>
      <c r="D1035" t="s">
        <v>5060</v>
      </c>
      <c r="E1035" t="s">
        <v>5060</v>
      </c>
      <c r="F1035">
        <v>2014</v>
      </c>
      <c r="G1035" t="s">
        <v>57</v>
      </c>
      <c r="H1035" t="s">
        <v>5061</v>
      </c>
      <c r="I1035" t="s">
        <v>5062</v>
      </c>
      <c r="J1035" t="s">
        <v>26</v>
      </c>
      <c r="K1035" t="s">
        <v>27</v>
      </c>
      <c r="L1035" t="b">
        <v>1</v>
      </c>
      <c r="M1035" t="s">
        <v>5063</v>
      </c>
      <c r="N1035" t="str">
        <f>"363.73874"</f>
        <v>363.73874</v>
      </c>
      <c r="O1035" t="s">
        <v>5064</v>
      </c>
      <c r="P1035" t="b">
        <v>0</v>
      </c>
      <c r="Q1035" t="b">
        <v>0</v>
      </c>
      <c r="R1035" t="str">
        <f>"9781922084507"</f>
        <v>9781922084507</v>
      </c>
      <c r="S1035" t="str">
        <f>"9781922084514"</f>
        <v>9781922084514</v>
      </c>
      <c r="T1035">
        <v>878950749</v>
      </c>
    </row>
    <row r="1036" spans="1:20" x14ac:dyDescent="0.25">
      <c r="A1036">
        <v>817932</v>
      </c>
      <c r="B1036" t="s">
        <v>5065</v>
      </c>
      <c r="C1036" t="s">
        <v>5066</v>
      </c>
      <c r="D1036" t="s">
        <v>2143</v>
      </c>
      <c r="E1036" t="s">
        <v>2143</v>
      </c>
      <c r="F1036">
        <v>2014</v>
      </c>
      <c r="G1036" t="s">
        <v>2145</v>
      </c>
      <c r="H1036" t="s">
        <v>5067</v>
      </c>
      <c r="I1036" t="s">
        <v>5068</v>
      </c>
      <c r="J1036" t="s">
        <v>26</v>
      </c>
      <c r="K1036" t="s">
        <v>27</v>
      </c>
      <c r="L1036" t="b">
        <v>1</v>
      </c>
      <c r="M1036" t="s">
        <v>5069</v>
      </c>
      <c r="N1036" t="str">
        <f>"616.89152"</f>
        <v>616.89152</v>
      </c>
      <c r="P1036" t="b">
        <v>0</v>
      </c>
      <c r="R1036" t="str">
        <f>"9781782202141"</f>
        <v>9781782202141</v>
      </c>
      <c r="S1036" t="str">
        <f>"9781782413356"</f>
        <v>9781782413356</v>
      </c>
      <c r="T1036">
        <v>886524742</v>
      </c>
    </row>
    <row r="1037" spans="1:20" x14ac:dyDescent="0.25">
      <c r="A1037">
        <v>816902</v>
      </c>
      <c r="B1037" t="s">
        <v>5070</v>
      </c>
      <c r="D1037" t="s">
        <v>2238</v>
      </c>
      <c r="E1037" t="s">
        <v>2239</v>
      </c>
      <c r="F1037">
        <v>2014</v>
      </c>
      <c r="G1037" t="s">
        <v>72</v>
      </c>
      <c r="H1037" t="s">
        <v>5071</v>
      </c>
      <c r="I1037" t="s">
        <v>5072</v>
      </c>
      <c r="J1037" t="s">
        <v>26</v>
      </c>
      <c r="K1037" t="s">
        <v>86</v>
      </c>
      <c r="L1037" t="b">
        <v>1</v>
      </c>
      <c r="M1037" t="s">
        <v>5073</v>
      </c>
      <c r="N1037" t="str">
        <f>"791.43/6"</f>
        <v>791.43/6</v>
      </c>
      <c r="O1037" t="s">
        <v>5007</v>
      </c>
      <c r="P1037" t="b">
        <v>0</v>
      </c>
      <c r="R1037" t="str">
        <f>"9780582437166"</f>
        <v>9780582437166</v>
      </c>
      <c r="S1037" t="str">
        <f>"9781317874973"</f>
        <v>9781317874973</v>
      </c>
      <c r="T1037">
        <v>884647743</v>
      </c>
    </row>
    <row r="1038" spans="1:20" x14ac:dyDescent="0.25">
      <c r="A1038">
        <v>813198</v>
      </c>
      <c r="B1038" t="s">
        <v>5074</v>
      </c>
      <c r="D1038" t="s">
        <v>5075</v>
      </c>
      <c r="E1038" t="s">
        <v>5076</v>
      </c>
      <c r="F1038">
        <v>2009</v>
      </c>
      <c r="G1038" t="s">
        <v>4275</v>
      </c>
      <c r="H1038" t="s">
        <v>5077</v>
      </c>
      <c r="I1038" t="s">
        <v>5078</v>
      </c>
      <c r="J1038" t="s">
        <v>26</v>
      </c>
      <c r="K1038" t="s">
        <v>27</v>
      </c>
      <c r="L1038" t="b">
        <v>1</v>
      </c>
      <c r="M1038" t="s">
        <v>5079</v>
      </c>
      <c r="N1038" t="str">
        <f>"617.6/95"</f>
        <v>617.6/95</v>
      </c>
      <c r="P1038" t="b">
        <v>0</v>
      </c>
      <c r="R1038" t="str">
        <f>"9780867154603"</f>
        <v>9780867154603</v>
      </c>
      <c r="S1038" t="str">
        <f>"9780867156782"</f>
        <v>9780867156782</v>
      </c>
      <c r="T1038">
        <v>889814406</v>
      </c>
    </row>
    <row r="1039" spans="1:20" x14ac:dyDescent="0.25">
      <c r="A1039">
        <v>811636</v>
      </c>
      <c r="B1039" t="s">
        <v>5080</v>
      </c>
      <c r="C1039" t="s">
        <v>5081</v>
      </c>
      <c r="D1039" t="s">
        <v>487</v>
      </c>
      <c r="E1039" t="s">
        <v>488</v>
      </c>
      <c r="F1039">
        <v>2014</v>
      </c>
      <c r="G1039" t="s">
        <v>5082</v>
      </c>
      <c r="H1039" t="s">
        <v>5083</v>
      </c>
      <c r="I1039" t="s">
        <v>5084</v>
      </c>
      <c r="J1039" t="s">
        <v>26</v>
      </c>
      <c r="K1039" t="s">
        <v>27</v>
      </c>
      <c r="L1039" t="b">
        <v>1</v>
      </c>
      <c r="M1039" t="s">
        <v>5085</v>
      </c>
      <c r="N1039" t="str">
        <f>"863/.3"</f>
        <v>863/.3</v>
      </c>
      <c r="O1039" t="s">
        <v>498</v>
      </c>
      <c r="P1039" t="b">
        <v>1</v>
      </c>
      <c r="R1039" t="str">
        <f>"9781907322167"</f>
        <v>9781907322167</v>
      </c>
      <c r="S1039" t="str">
        <f>"9781781881781"</f>
        <v>9781781881781</v>
      </c>
      <c r="T1039">
        <v>891339573</v>
      </c>
    </row>
    <row r="1040" spans="1:20" x14ac:dyDescent="0.25">
      <c r="A1040">
        <v>811635</v>
      </c>
      <c r="B1040" t="s">
        <v>5086</v>
      </c>
      <c r="D1040" t="s">
        <v>487</v>
      </c>
      <c r="E1040" t="s">
        <v>488</v>
      </c>
      <c r="F1040">
        <v>2014</v>
      </c>
      <c r="G1040" t="s">
        <v>5087</v>
      </c>
      <c r="H1040" t="s">
        <v>5088</v>
      </c>
      <c r="J1040" t="s">
        <v>26</v>
      </c>
      <c r="K1040" t="s">
        <v>27</v>
      </c>
      <c r="L1040" t="b">
        <v>1</v>
      </c>
      <c r="M1040" t="s">
        <v>5089</v>
      </c>
      <c r="N1040" t="str">
        <f>"843.6"</f>
        <v>843.6</v>
      </c>
      <c r="O1040" t="s">
        <v>2958</v>
      </c>
      <c r="P1040" t="b">
        <v>0</v>
      </c>
      <c r="Q1040" t="b">
        <v>0</v>
      </c>
      <c r="R1040" t="str">
        <f>"9781907322136"</f>
        <v>9781907322136</v>
      </c>
      <c r="S1040" t="str">
        <f>"9781781881774"</f>
        <v>9781781881774</v>
      </c>
      <c r="T1040">
        <v>883797149</v>
      </c>
    </row>
    <row r="1041" spans="1:20" x14ac:dyDescent="0.25">
      <c r="A1041">
        <v>810559</v>
      </c>
      <c r="B1041" t="s">
        <v>5090</v>
      </c>
      <c r="D1041" t="s">
        <v>2143</v>
      </c>
      <c r="E1041" t="s">
        <v>2144</v>
      </c>
      <c r="F1041">
        <v>2014</v>
      </c>
      <c r="G1041" t="s">
        <v>2145</v>
      </c>
      <c r="H1041" t="s">
        <v>5091</v>
      </c>
      <c r="I1041" t="s">
        <v>5092</v>
      </c>
      <c r="J1041" t="s">
        <v>26</v>
      </c>
      <c r="K1041" t="s">
        <v>27</v>
      </c>
      <c r="L1041" t="b">
        <v>1</v>
      </c>
      <c r="M1041" t="s">
        <v>5093</v>
      </c>
      <c r="N1041" t="str">
        <f>"616.89"</f>
        <v>616.89</v>
      </c>
      <c r="P1041" t="b">
        <v>0</v>
      </c>
      <c r="R1041" t="str">
        <f>"9781883881269"</f>
        <v>9781883881269</v>
      </c>
      <c r="S1041" t="str">
        <f>"9780954323165"</f>
        <v>9780954323165</v>
      </c>
      <c r="T1041">
        <v>881607722</v>
      </c>
    </row>
    <row r="1042" spans="1:20" x14ac:dyDescent="0.25">
      <c r="A1042">
        <v>810558</v>
      </c>
      <c r="B1042" t="s">
        <v>5094</v>
      </c>
      <c r="D1042" t="s">
        <v>2143</v>
      </c>
      <c r="E1042" t="s">
        <v>2144</v>
      </c>
      <c r="F1042">
        <v>2014</v>
      </c>
      <c r="G1042" t="s">
        <v>2145</v>
      </c>
      <c r="H1042" t="s">
        <v>5095</v>
      </c>
      <c r="I1042" t="s">
        <v>5096</v>
      </c>
      <c r="J1042" t="s">
        <v>26</v>
      </c>
      <c r="K1042" t="s">
        <v>27</v>
      </c>
      <c r="L1042" t="b">
        <v>1</v>
      </c>
      <c r="M1042" t="s">
        <v>5097</v>
      </c>
      <c r="N1042" t="str">
        <f>"618.4"</f>
        <v>618.4</v>
      </c>
      <c r="P1042" t="b">
        <v>0</v>
      </c>
      <c r="R1042" t="str">
        <f>"9780715621707"</f>
        <v>9780715621707</v>
      </c>
      <c r="S1042" t="str">
        <f>"9780954323141"</f>
        <v>9780954323141</v>
      </c>
      <c r="T1042">
        <v>884588157</v>
      </c>
    </row>
    <row r="1043" spans="1:20" x14ac:dyDescent="0.25">
      <c r="A1043">
        <v>803657</v>
      </c>
      <c r="B1043" t="s">
        <v>5098</v>
      </c>
      <c r="C1043" t="s">
        <v>5099</v>
      </c>
      <c r="D1043" t="s">
        <v>131</v>
      </c>
      <c r="E1043" t="s">
        <v>4254</v>
      </c>
      <c r="F1043">
        <v>2010</v>
      </c>
      <c r="G1043" t="s">
        <v>1879</v>
      </c>
      <c r="H1043" t="s">
        <v>5100</v>
      </c>
      <c r="I1043" t="s">
        <v>5101</v>
      </c>
      <c r="J1043" t="s">
        <v>26</v>
      </c>
      <c r="K1043" t="s">
        <v>48</v>
      </c>
      <c r="L1043" t="b">
        <v>1</v>
      </c>
      <c r="M1043" t="s">
        <v>5102</v>
      </c>
      <c r="N1043" t="str">
        <f>"813/.54"</f>
        <v>813/.54</v>
      </c>
      <c r="O1043" t="s">
        <v>5103</v>
      </c>
      <c r="P1043" t="b">
        <v>1</v>
      </c>
      <c r="R1043" t="str">
        <f>"9781564785886"</f>
        <v>9781564785886</v>
      </c>
      <c r="S1043" t="str">
        <f>"9781564786173"</f>
        <v>9781564786173</v>
      </c>
      <c r="T1043">
        <v>881278925</v>
      </c>
    </row>
    <row r="1044" spans="1:20" x14ac:dyDescent="0.25">
      <c r="A1044">
        <v>803289</v>
      </c>
      <c r="B1044" t="s">
        <v>5104</v>
      </c>
      <c r="D1044" t="s">
        <v>123</v>
      </c>
      <c r="E1044" t="s">
        <v>124</v>
      </c>
      <c r="F1044">
        <v>2014</v>
      </c>
      <c r="G1044" t="s">
        <v>5105</v>
      </c>
      <c r="H1044" t="s">
        <v>5106</v>
      </c>
      <c r="I1044" t="s">
        <v>5107</v>
      </c>
      <c r="J1044" t="s">
        <v>26</v>
      </c>
      <c r="K1044" t="s">
        <v>48</v>
      </c>
      <c r="L1044" t="b">
        <v>1</v>
      </c>
      <c r="M1044" t="s">
        <v>5108</v>
      </c>
      <c r="N1044" t="str">
        <f>"025.7"</f>
        <v>025.7</v>
      </c>
      <c r="P1044" t="b">
        <v>0</v>
      </c>
      <c r="R1044" t="str">
        <f>"9781628737936"</f>
        <v>9781628737936</v>
      </c>
      <c r="S1044" t="str">
        <f>"9781629140483"</f>
        <v>9781629140483</v>
      </c>
      <c r="T1044">
        <v>881280487</v>
      </c>
    </row>
    <row r="1045" spans="1:20" x14ac:dyDescent="0.25">
      <c r="A1045">
        <v>802774</v>
      </c>
      <c r="B1045" t="s">
        <v>5109</v>
      </c>
      <c r="C1045" t="s">
        <v>5110</v>
      </c>
      <c r="D1045" t="s">
        <v>131</v>
      </c>
      <c r="E1045" t="s">
        <v>4254</v>
      </c>
      <c r="F1045">
        <v>2012</v>
      </c>
      <c r="G1045" t="s">
        <v>5111</v>
      </c>
      <c r="H1045" t="s">
        <v>5112</v>
      </c>
      <c r="J1045" t="s">
        <v>26</v>
      </c>
      <c r="K1045" t="s">
        <v>48</v>
      </c>
      <c r="L1045" t="b">
        <v>1</v>
      </c>
      <c r="M1045" t="s">
        <v>5113</v>
      </c>
      <c r="N1045" t="str">
        <f>"892.4/36"</f>
        <v>892.4/36</v>
      </c>
      <c r="O1045" t="s">
        <v>5114</v>
      </c>
      <c r="P1045" t="b">
        <v>1</v>
      </c>
      <c r="R1045" t="str">
        <f>"9781564788672"</f>
        <v>9781564788672</v>
      </c>
      <c r="S1045" t="str">
        <f>"9781564789655"</f>
        <v>9781564789655</v>
      </c>
      <c r="T1045">
        <v>881470042</v>
      </c>
    </row>
    <row r="1046" spans="1:20" x14ac:dyDescent="0.25">
      <c r="A1046">
        <v>802663</v>
      </c>
      <c r="B1046" t="s">
        <v>5115</v>
      </c>
      <c r="C1046" t="s">
        <v>5116</v>
      </c>
      <c r="D1046" t="s">
        <v>123</v>
      </c>
      <c r="E1046" t="s">
        <v>1927</v>
      </c>
      <c r="F1046">
        <v>2014</v>
      </c>
      <c r="G1046" t="s">
        <v>3773</v>
      </c>
      <c r="H1046" t="s">
        <v>5117</v>
      </c>
      <c r="J1046" t="s">
        <v>26</v>
      </c>
      <c r="K1046" t="s">
        <v>48</v>
      </c>
      <c r="L1046" t="b">
        <v>1</v>
      </c>
      <c r="M1046" t="s">
        <v>5118</v>
      </c>
      <c r="N1046" t="str">
        <f>"973.932"</f>
        <v>973.932</v>
      </c>
      <c r="P1046" t="b">
        <v>0</v>
      </c>
      <c r="R1046" t="str">
        <f>"9781621573135"</f>
        <v>9781621573135</v>
      </c>
      <c r="S1046" t="str">
        <f>"9781621573142"</f>
        <v>9781621573142</v>
      </c>
      <c r="T1046">
        <v>881165648</v>
      </c>
    </row>
    <row r="1047" spans="1:20" x14ac:dyDescent="0.25">
      <c r="A1047">
        <v>802650</v>
      </c>
      <c r="B1047" t="s">
        <v>5119</v>
      </c>
      <c r="D1047" t="s">
        <v>131</v>
      </c>
      <c r="E1047" t="s">
        <v>4254</v>
      </c>
      <c r="F1047">
        <v>2013</v>
      </c>
      <c r="G1047" t="s">
        <v>2203</v>
      </c>
      <c r="H1047" t="s">
        <v>5120</v>
      </c>
      <c r="I1047" t="s">
        <v>5121</v>
      </c>
      <c r="J1047" t="s">
        <v>26</v>
      </c>
      <c r="K1047" t="s">
        <v>48</v>
      </c>
      <c r="L1047" t="b">
        <v>1</v>
      </c>
      <c r="M1047" t="s">
        <v>5122</v>
      </c>
      <c r="N1047" t="str">
        <f>"808.83/1"</f>
        <v>808.83/1</v>
      </c>
      <c r="O1047" t="s">
        <v>5123</v>
      </c>
      <c r="P1047" t="b">
        <v>1</v>
      </c>
      <c r="R1047" t="str">
        <f>"9781564788986"</f>
        <v>9781564788986</v>
      </c>
      <c r="S1047" t="str">
        <f>"9781564789358"</f>
        <v>9781564789358</v>
      </c>
      <c r="T1047">
        <v>881280254</v>
      </c>
    </row>
    <row r="1048" spans="1:20" x14ac:dyDescent="0.25">
      <c r="A1048">
        <v>802649</v>
      </c>
      <c r="B1048" t="s">
        <v>5124</v>
      </c>
      <c r="D1048" t="s">
        <v>131</v>
      </c>
      <c r="E1048" t="s">
        <v>4254</v>
      </c>
      <c r="F1048">
        <v>2012</v>
      </c>
      <c r="G1048" t="s">
        <v>5125</v>
      </c>
      <c r="H1048" t="s">
        <v>5120</v>
      </c>
      <c r="I1048" t="s">
        <v>5121</v>
      </c>
      <c r="J1048" t="s">
        <v>26</v>
      </c>
      <c r="K1048" t="s">
        <v>48</v>
      </c>
      <c r="L1048" t="b">
        <v>1</v>
      </c>
      <c r="M1048" t="s">
        <v>5126</v>
      </c>
      <c r="N1048" t="str">
        <f>"808.3"</f>
        <v>808.3</v>
      </c>
      <c r="O1048" t="s">
        <v>5123</v>
      </c>
      <c r="P1048" t="b">
        <v>1</v>
      </c>
      <c r="R1048" t="str">
        <f>"9781564787927"</f>
        <v>9781564787927</v>
      </c>
      <c r="S1048" t="str">
        <f>"9781564788252"</f>
        <v>9781564788252</v>
      </c>
      <c r="T1048">
        <v>881280272</v>
      </c>
    </row>
    <row r="1049" spans="1:20" x14ac:dyDescent="0.25">
      <c r="A1049">
        <v>802648</v>
      </c>
      <c r="B1049" t="s">
        <v>5127</v>
      </c>
      <c r="D1049" t="s">
        <v>131</v>
      </c>
      <c r="E1049" t="s">
        <v>4254</v>
      </c>
      <c r="F1049">
        <v>2011</v>
      </c>
      <c r="G1049" t="s">
        <v>494</v>
      </c>
      <c r="H1049" t="s">
        <v>5128</v>
      </c>
      <c r="I1049" t="s">
        <v>5121</v>
      </c>
      <c r="J1049" t="s">
        <v>26</v>
      </c>
      <c r="K1049" t="s">
        <v>48</v>
      </c>
      <c r="L1049" t="b">
        <v>1</v>
      </c>
      <c r="M1049" t="s">
        <v>5129</v>
      </c>
      <c r="N1049" t="str">
        <f>"808.3"</f>
        <v>808.3</v>
      </c>
      <c r="O1049" t="s">
        <v>5123</v>
      </c>
      <c r="P1049" t="b">
        <v>1</v>
      </c>
      <c r="R1049" t="str">
        <f>"9781564786807"</f>
        <v>9781564786807</v>
      </c>
      <c r="S1049" t="str">
        <f>"9781564786951"</f>
        <v>9781564786951</v>
      </c>
      <c r="T1049">
        <v>881280284</v>
      </c>
    </row>
    <row r="1050" spans="1:20" x14ac:dyDescent="0.25">
      <c r="A1050">
        <v>802647</v>
      </c>
      <c r="B1050" t="s">
        <v>5130</v>
      </c>
      <c r="D1050" t="s">
        <v>131</v>
      </c>
      <c r="E1050" t="s">
        <v>4254</v>
      </c>
      <c r="F1050">
        <v>2010</v>
      </c>
      <c r="G1050" t="s">
        <v>494</v>
      </c>
      <c r="H1050" t="s">
        <v>5131</v>
      </c>
      <c r="I1050" t="s">
        <v>5121</v>
      </c>
      <c r="J1050" t="s">
        <v>26</v>
      </c>
      <c r="K1050" t="s">
        <v>48</v>
      </c>
      <c r="L1050" t="b">
        <v>1</v>
      </c>
      <c r="M1050" t="s">
        <v>5132</v>
      </c>
      <c r="N1050" t="str">
        <f>"808.3"</f>
        <v>808.3</v>
      </c>
      <c r="O1050" t="s">
        <v>5123</v>
      </c>
      <c r="P1050" t="b">
        <v>1</v>
      </c>
      <c r="R1050" t="str">
        <f>"9781564786005"</f>
        <v>9781564786005</v>
      </c>
      <c r="S1050" t="str">
        <f>"9781564786678"</f>
        <v>9781564786678</v>
      </c>
      <c r="T1050">
        <v>881280233</v>
      </c>
    </row>
    <row r="1051" spans="1:20" x14ac:dyDescent="0.25">
      <c r="A1051">
        <v>802646</v>
      </c>
      <c r="B1051" t="s">
        <v>5133</v>
      </c>
      <c r="D1051" t="s">
        <v>131</v>
      </c>
      <c r="E1051" t="s">
        <v>4254</v>
      </c>
      <c r="F1051">
        <v>2010</v>
      </c>
      <c r="G1051" t="s">
        <v>494</v>
      </c>
      <c r="H1051" t="s">
        <v>5131</v>
      </c>
      <c r="I1051" t="s">
        <v>5121</v>
      </c>
      <c r="J1051" t="s">
        <v>26</v>
      </c>
      <c r="K1051" t="s">
        <v>48</v>
      </c>
      <c r="L1051" t="b">
        <v>1</v>
      </c>
      <c r="M1051" t="s">
        <v>5134</v>
      </c>
      <c r="N1051" t="str">
        <f>"808.830511"</f>
        <v>808.830511</v>
      </c>
      <c r="O1051" t="s">
        <v>5123</v>
      </c>
      <c r="P1051" t="b">
        <v>1</v>
      </c>
      <c r="R1051" t="str">
        <f>"9781564785435"</f>
        <v>9781564785435</v>
      </c>
      <c r="S1051" t="str">
        <f>"9781564786166"</f>
        <v>9781564786166</v>
      </c>
      <c r="T1051">
        <v>882106916</v>
      </c>
    </row>
    <row r="1052" spans="1:20" x14ac:dyDescent="0.25">
      <c r="A1052">
        <v>802636</v>
      </c>
      <c r="B1052" t="s">
        <v>5135</v>
      </c>
      <c r="C1052" t="s">
        <v>5136</v>
      </c>
      <c r="D1052" t="s">
        <v>131</v>
      </c>
      <c r="E1052" t="s">
        <v>4254</v>
      </c>
      <c r="F1052">
        <v>2013</v>
      </c>
      <c r="G1052" t="s">
        <v>197</v>
      </c>
      <c r="H1052" t="s">
        <v>5137</v>
      </c>
      <c r="I1052" t="s">
        <v>5138</v>
      </c>
      <c r="J1052" t="s">
        <v>26</v>
      </c>
      <c r="K1052" t="s">
        <v>48</v>
      </c>
      <c r="L1052" t="b">
        <v>1</v>
      </c>
      <c r="M1052" t="s">
        <v>5139</v>
      </c>
      <c r="N1052" t="str">
        <f>"418/.02092"</f>
        <v>418/.02092</v>
      </c>
      <c r="O1052" t="s">
        <v>5140</v>
      </c>
      <c r="P1052" t="b">
        <v>0</v>
      </c>
      <c r="R1052" t="str">
        <f>"9781564788863"</f>
        <v>9781564788863</v>
      </c>
      <c r="S1052" t="str">
        <f>"9781564789860"</f>
        <v>9781564789860</v>
      </c>
      <c r="T1052">
        <v>882915635</v>
      </c>
    </row>
    <row r="1053" spans="1:20" x14ac:dyDescent="0.25">
      <c r="A1053">
        <v>802628</v>
      </c>
      <c r="B1053" t="s">
        <v>5141</v>
      </c>
      <c r="D1053" t="s">
        <v>131</v>
      </c>
      <c r="E1053" t="s">
        <v>4254</v>
      </c>
      <c r="F1053">
        <v>2012</v>
      </c>
      <c r="G1053" t="s">
        <v>2203</v>
      </c>
      <c r="H1053" t="s">
        <v>5142</v>
      </c>
      <c r="I1053" t="s">
        <v>5143</v>
      </c>
      <c r="J1053" t="s">
        <v>26</v>
      </c>
      <c r="K1053" t="s">
        <v>48</v>
      </c>
      <c r="L1053" t="b">
        <v>1</v>
      </c>
      <c r="M1053" t="s">
        <v>5144</v>
      </c>
      <c r="N1053" t="str">
        <f>"833/.914"</f>
        <v>833/.914</v>
      </c>
      <c r="O1053" t="s">
        <v>5145</v>
      </c>
      <c r="P1053" t="b">
        <v>1</v>
      </c>
      <c r="R1053" t="str">
        <f>"9781564787941"</f>
        <v>9781564787941</v>
      </c>
      <c r="S1053" t="str">
        <f>"9781564788276"</f>
        <v>9781564788276</v>
      </c>
      <c r="T1053">
        <v>881469978</v>
      </c>
    </row>
    <row r="1054" spans="1:20" x14ac:dyDescent="0.25">
      <c r="A1054">
        <v>802627</v>
      </c>
      <c r="B1054" t="s">
        <v>5146</v>
      </c>
      <c r="D1054" t="s">
        <v>131</v>
      </c>
      <c r="E1054" t="s">
        <v>4254</v>
      </c>
      <c r="F1054">
        <v>2012</v>
      </c>
      <c r="G1054" t="s">
        <v>1879</v>
      </c>
      <c r="H1054" t="s">
        <v>5147</v>
      </c>
      <c r="J1054" t="s">
        <v>26</v>
      </c>
      <c r="K1054" t="s">
        <v>48</v>
      </c>
      <c r="L1054" t="b">
        <v>1</v>
      </c>
      <c r="M1054" t="s">
        <v>5148</v>
      </c>
      <c r="N1054" t="str">
        <f>"843/.92"</f>
        <v>843/.92</v>
      </c>
      <c r="P1054" t="b">
        <v>1</v>
      </c>
      <c r="R1054" t="str">
        <f>"9781564787071"</f>
        <v>9781564787071</v>
      </c>
      <c r="S1054" t="str">
        <f>"9781564788450"</f>
        <v>9781564788450</v>
      </c>
      <c r="T1054">
        <v>881469989</v>
      </c>
    </row>
    <row r="1055" spans="1:20" x14ac:dyDescent="0.25">
      <c r="A1055">
        <v>802621</v>
      </c>
      <c r="B1055" t="s">
        <v>5149</v>
      </c>
      <c r="D1055" t="s">
        <v>131</v>
      </c>
      <c r="E1055" t="s">
        <v>4254</v>
      </c>
      <c r="F1055">
        <v>2013</v>
      </c>
      <c r="G1055" t="s">
        <v>197</v>
      </c>
      <c r="H1055" t="s">
        <v>5150</v>
      </c>
      <c r="I1055" t="s">
        <v>5151</v>
      </c>
      <c r="J1055" t="s">
        <v>26</v>
      </c>
      <c r="K1055" t="s">
        <v>48</v>
      </c>
      <c r="L1055" t="b">
        <v>1</v>
      </c>
      <c r="M1055" t="s">
        <v>5152</v>
      </c>
      <c r="N1055" t="str">
        <f>"843/.912"</f>
        <v>843/.912</v>
      </c>
      <c r="O1055" t="s">
        <v>5140</v>
      </c>
      <c r="P1055" t="b">
        <v>0</v>
      </c>
      <c r="R1055" t="str">
        <f>"9781564788085"</f>
        <v>9781564788085</v>
      </c>
      <c r="S1055" t="str">
        <f>"9781564788412"</f>
        <v>9781564788412</v>
      </c>
      <c r="T1055">
        <v>883658584</v>
      </c>
    </row>
    <row r="1056" spans="1:20" x14ac:dyDescent="0.25">
      <c r="A1056">
        <v>802615</v>
      </c>
      <c r="B1056" t="s">
        <v>5153</v>
      </c>
      <c r="D1056" t="s">
        <v>131</v>
      </c>
      <c r="E1056" t="s">
        <v>4254</v>
      </c>
      <c r="F1056">
        <v>2013</v>
      </c>
      <c r="G1056" t="s">
        <v>1879</v>
      </c>
      <c r="H1056" t="s">
        <v>5154</v>
      </c>
      <c r="J1056" t="s">
        <v>26</v>
      </c>
      <c r="K1056" t="s">
        <v>48</v>
      </c>
      <c r="L1056" t="b">
        <v>1</v>
      </c>
      <c r="M1056" t="s">
        <v>5155</v>
      </c>
      <c r="N1056" t="str">
        <f>"869.3/42"</f>
        <v>869.3/42</v>
      </c>
      <c r="O1056" t="s">
        <v>5156</v>
      </c>
      <c r="P1056" t="b">
        <v>1</v>
      </c>
      <c r="R1056" t="str">
        <f>"9781564788719"</f>
        <v>9781564788719</v>
      </c>
      <c r="S1056" t="str">
        <f>"9781564789723"</f>
        <v>9781564789723</v>
      </c>
      <c r="T1056">
        <v>881278672</v>
      </c>
    </row>
    <row r="1057" spans="1:20" x14ac:dyDescent="0.25">
      <c r="A1057">
        <v>802605</v>
      </c>
      <c r="B1057" t="s">
        <v>5157</v>
      </c>
      <c r="D1057" t="s">
        <v>131</v>
      </c>
      <c r="E1057" t="s">
        <v>4254</v>
      </c>
      <c r="F1057">
        <v>2010</v>
      </c>
      <c r="G1057" t="s">
        <v>1879</v>
      </c>
      <c r="H1057" t="s">
        <v>5158</v>
      </c>
      <c r="I1057" t="s">
        <v>5159</v>
      </c>
      <c r="J1057" t="s">
        <v>26</v>
      </c>
      <c r="K1057" t="s">
        <v>48</v>
      </c>
      <c r="L1057" t="b">
        <v>1</v>
      </c>
      <c r="M1057" t="s">
        <v>5160</v>
      </c>
      <c r="N1057" t="str">
        <f>"839.82/374"</f>
        <v>839.82/374</v>
      </c>
      <c r="O1057" t="s">
        <v>5161</v>
      </c>
      <c r="P1057" t="b">
        <v>1</v>
      </c>
      <c r="R1057" t="str">
        <f>"9781564785732"</f>
        <v>9781564785732</v>
      </c>
      <c r="S1057" t="str">
        <f>"9781564789952"</f>
        <v>9781564789952</v>
      </c>
      <c r="T1057">
        <v>881278664</v>
      </c>
    </row>
    <row r="1058" spans="1:20" x14ac:dyDescent="0.25">
      <c r="A1058">
        <v>802597</v>
      </c>
      <c r="B1058" t="s">
        <v>5162</v>
      </c>
      <c r="D1058" t="s">
        <v>131</v>
      </c>
      <c r="E1058" t="s">
        <v>4254</v>
      </c>
      <c r="F1058">
        <v>2012</v>
      </c>
      <c r="G1058" t="s">
        <v>1879</v>
      </c>
      <c r="H1058" t="s">
        <v>5163</v>
      </c>
      <c r="I1058" t="s">
        <v>5164</v>
      </c>
      <c r="J1058" t="s">
        <v>26</v>
      </c>
      <c r="K1058" t="s">
        <v>48</v>
      </c>
      <c r="L1058" t="b">
        <v>1</v>
      </c>
      <c r="M1058" t="s">
        <v>5165</v>
      </c>
      <c r="N1058" t="str">
        <f>"863/.64"</f>
        <v>863/.64</v>
      </c>
      <c r="O1058" t="s">
        <v>5166</v>
      </c>
      <c r="P1058" t="b">
        <v>1</v>
      </c>
      <c r="R1058" t="str">
        <f>"9781564787965"</f>
        <v>9781564787965</v>
      </c>
      <c r="S1058" t="str">
        <f>"9781564788290"</f>
        <v>9781564788290</v>
      </c>
      <c r="T1058">
        <v>881469984</v>
      </c>
    </row>
    <row r="1059" spans="1:20" x14ac:dyDescent="0.25">
      <c r="A1059">
        <v>799605</v>
      </c>
      <c r="B1059" t="s">
        <v>5167</v>
      </c>
      <c r="C1059" t="s">
        <v>5168</v>
      </c>
      <c r="D1059" t="s">
        <v>1151</v>
      </c>
      <c r="E1059" t="s">
        <v>4196</v>
      </c>
      <c r="F1059">
        <v>2014</v>
      </c>
      <c r="G1059" t="s">
        <v>248</v>
      </c>
      <c r="H1059" t="s">
        <v>5169</v>
      </c>
      <c r="I1059" t="s">
        <v>5170</v>
      </c>
      <c r="J1059" t="s">
        <v>26</v>
      </c>
      <c r="K1059" t="s">
        <v>48</v>
      </c>
      <c r="L1059" t="b">
        <v>1</v>
      </c>
      <c r="M1059" t="s">
        <v>5171</v>
      </c>
      <c r="N1059" t="str">
        <f>"305.20973"</f>
        <v>305.20973</v>
      </c>
      <c r="P1059" t="b">
        <v>0</v>
      </c>
      <c r="S1059" t="str">
        <f>"9781610393515"</f>
        <v>9781610393515</v>
      </c>
      <c r="T1059">
        <v>869090845</v>
      </c>
    </row>
    <row r="1060" spans="1:20" x14ac:dyDescent="0.25">
      <c r="A1060">
        <v>798211</v>
      </c>
      <c r="B1060" t="s">
        <v>5172</v>
      </c>
      <c r="C1060" t="s">
        <v>5173</v>
      </c>
      <c r="D1060" t="s">
        <v>211</v>
      </c>
      <c r="E1060" t="s">
        <v>5174</v>
      </c>
      <c r="F1060">
        <v>2012</v>
      </c>
      <c r="G1060" t="s">
        <v>1591</v>
      </c>
      <c r="H1060" t="s">
        <v>5175</v>
      </c>
      <c r="I1060" t="s">
        <v>5176</v>
      </c>
      <c r="J1060" t="s">
        <v>26</v>
      </c>
      <c r="K1060" t="s">
        <v>27</v>
      </c>
      <c r="L1060" t="b">
        <v>1</v>
      </c>
      <c r="M1060" t="s">
        <v>5177</v>
      </c>
      <c r="N1060" t="str">
        <f>"305.895094"</f>
        <v>305.895094</v>
      </c>
      <c r="P1060" t="b">
        <v>0</v>
      </c>
      <c r="Q1060" t="b">
        <v>0</v>
      </c>
      <c r="R1060" t="str">
        <f>"9781742583495"</f>
        <v>9781742583495</v>
      </c>
      <c r="S1060" t="str">
        <f>"9781742584744"</f>
        <v>9781742584744</v>
      </c>
      <c r="T1060">
        <v>881628215</v>
      </c>
    </row>
    <row r="1061" spans="1:20" x14ac:dyDescent="0.25">
      <c r="A1061">
        <v>797536</v>
      </c>
      <c r="B1061" t="s">
        <v>5178</v>
      </c>
      <c r="D1061" t="s">
        <v>2238</v>
      </c>
      <c r="E1061" t="s">
        <v>2239</v>
      </c>
      <c r="F1061">
        <v>2014</v>
      </c>
      <c r="G1061" t="s">
        <v>645</v>
      </c>
      <c r="H1061" t="s">
        <v>5179</v>
      </c>
      <c r="J1061" t="s">
        <v>26</v>
      </c>
      <c r="K1061" t="s">
        <v>86</v>
      </c>
      <c r="L1061" t="b">
        <v>1</v>
      </c>
      <c r="M1061" t="s">
        <v>5180</v>
      </c>
      <c r="N1061" t="str">
        <f>"941.508"</f>
        <v>941.508</v>
      </c>
      <c r="O1061" t="s">
        <v>5181</v>
      </c>
      <c r="P1061" t="b">
        <v>0</v>
      </c>
      <c r="R1061" t="str">
        <f>"9780582081024"</f>
        <v>9780582081024</v>
      </c>
      <c r="S1061" t="str">
        <f>"9781317897118"</f>
        <v>9781317897118</v>
      </c>
      <c r="T1061">
        <v>881417484</v>
      </c>
    </row>
    <row r="1062" spans="1:20" x14ac:dyDescent="0.25">
      <c r="A1062">
        <v>796577</v>
      </c>
      <c r="B1062" t="s">
        <v>5182</v>
      </c>
      <c r="D1062" t="s">
        <v>123</v>
      </c>
      <c r="E1062" t="s">
        <v>124</v>
      </c>
      <c r="F1062">
        <v>2014</v>
      </c>
      <c r="G1062" t="s">
        <v>5183</v>
      </c>
      <c r="H1062" t="s">
        <v>5184</v>
      </c>
      <c r="I1062" t="s">
        <v>5185</v>
      </c>
      <c r="J1062" t="s">
        <v>26</v>
      </c>
      <c r="K1062" t="s">
        <v>48</v>
      </c>
      <c r="L1062" t="b">
        <v>1</v>
      </c>
      <c r="M1062" t="s">
        <v>5186</v>
      </c>
      <c r="N1062" t="str">
        <f>"363.70092"</f>
        <v>363.70092</v>
      </c>
      <c r="P1062" t="b">
        <v>0</v>
      </c>
      <c r="R1062" t="str">
        <f>"9781628737677"</f>
        <v>9781628737677</v>
      </c>
      <c r="S1062" t="str">
        <f>"9781629141367"</f>
        <v>9781629141367</v>
      </c>
      <c r="T1062">
        <v>881415049</v>
      </c>
    </row>
    <row r="1063" spans="1:20" x14ac:dyDescent="0.25">
      <c r="A1063">
        <v>796568</v>
      </c>
      <c r="B1063" t="s">
        <v>5187</v>
      </c>
      <c r="C1063" t="s">
        <v>5188</v>
      </c>
      <c r="D1063" t="s">
        <v>123</v>
      </c>
      <c r="E1063" t="s">
        <v>124</v>
      </c>
      <c r="F1063">
        <v>2014</v>
      </c>
      <c r="G1063" t="s">
        <v>553</v>
      </c>
      <c r="H1063" t="s">
        <v>5189</v>
      </c>
      <c r="I1063" t="s">
        <v>5190</v>
      </c>
      <c r="J1063" t="s">
        <v>26</v>
      </c>
      <c r="K1063" t="s">
        <v>48</v>
      </c>
      <c r="L1063" t="b">
        <v>1</v>
      </c>
      <c r="M1063" t="s">
        <v>5191</v>
      </c>
      <c r="N1063" t="str">
        <f>"358.40095694"</f>
        <v>358.40095694</v>
      </c>
      <c r="P1063" t="b">
        <v>0</v>
      </c>
      <c r="R1063" t="str">
        <f>"9781628737318"</f>
        <v>9781628737318</v>
      </c>
      <c r="S1063" t="str">
        <f>"9781629140841"</f>
        <v>9781629140841</v>
      </c>
      <c r="T1063">
        <v>881568026</v>
      </c>
    </row>
    <row r="1064" spans="1:20" x14ac:dyDescent="0.25">
      <c r="A1064">
        <v>796479</v>
      </c>
      <c r="B1064" t="s">
        <v>5192</v>
      </c>
      <c r="C1064" t="s">
        <v>5193</v>
      </c>
      <c r="D1064" t="s">
        <v>123</v>
      </c>
      <c r="E1064" t="s">
        <v>124</v>
      </c>
      <c r="F1064">
        <v>2014</v>
      </c>
      <c r="G1064" t="s">
        <v>5194</v>
      </c>
      <c r="H1064" t="s">
        <v>5195</v>
      </c>
      <c r="I1064" t="s">
        <v>5196</v>
      </c>
      <c r="J1064" t="s">
        <v>26</v>
      </c>
      <c r="K1064" t="s">
        <v>48</v>
      </c>
      <c r="L1064" t="b">
        <v>1</v>
      </c>
      <c r="M1064" t="s">
        <v>5197</v>
      </c>
      <c r="N1064" t="str">
        <f>"359.0092;B"</f>
        <v>359.0092;B</v>
      </c>
      <c r="P1064" t="b">
        <v>0</v>
      </c>
      <c r="R1064" t="str">
        <f>"9781620871034"</f>
        <v>9781620871034</v>
      </c>
      <c r="S1064" t="str">
        <f>"9781620878620"</f>
        <v>9781620878620</v>
      </c>
      <c r="T1064">
        <v>869641415</v>
      </c>
    </row>
    <row r="1065" spans="1:20" x14ac:dyDescent="0.25">
      <c r="A1065">
        <v>796462</v>
      </c>
      <c r="B1065" t="s">
        <v>5198</v>
      </c>
      <c r="C1065" t="s">
        <v>5199</v>
      </c>
      <c r="D1065" t="s">
        <v>487</v>
      </c>
      <c r="E1065" t="s">
        <v>488</v>
      </c>
      <c r="F1065">
        <v>2012</v>
      </c>
      <c r="G1065" t="s">
        <v>670</v>
      </c>
      <c r="H1065" t="s">
        <v>5200</v>
      </c>
      <c r="I1065" t="s">
        <v>5201</v>
      </c>
      <c r="J1065" t="s">
        <v>26</v>
      </c>
      <c r="K1065" t="s">
        <v>27</v>
      </c>
      <c r="L1065" t="b">
        <v>1</v>
      </c>
      <c r="M1065" t="s">
        <v>5202</v>
      </c>
      <c r="N1065" t="str">
        <f>"870"</f>
        <v>870</v>
      </c>
      <c r="O1065" t="s">
        <v>498</v>
      </c>
      <c r="P1065" t="b">
        <v>1</v>
      </c>
      <c r="Q1065" t="b">
        <v>0</v>
      </c>
      <c r="R1065" t="str">
        <f>"9780947623982"</f>
        <v>9780947623982</v>
      </c>
      <c r="S1065" t="str">
        <f>"9781781881668"</f>
        <v>9781781881668</v>
      </c>
      <c r="T1065">
        <v>881721834</v>
      </c>
    </row>
    <row r="1066" spans="1:20" x14ac:dyDescent="0.25">
      <c r="A1066">
        <v>796461</v>
      </c>
      <c r="B1066" t="s">
        <v>5203</v>
      </c>
      <c r="D1066" t="s">
        <v>487</v>
      </c>
      <c r="E1066" t="s">
        <v>488</v>
      </c>
      <c r="F1066">
        <v>2012</v>
      </c>
      <c r="G1066" t="s">
        <v>5204</v>
      </c>
      <c r="H1066" t="s">
        <v>5205</v>
      </c>
      <c r="J1066" t="s">
        <v>26</v>
      </c>
      <c r="K1066" t="s">
        <v>27</v>
      </c>
      <c r="L1066" t="b">
        <v>1</v>
      </c>
      <c r="M1066" t="s">
        <v>5206</v>
      </c>
      <c r="N1066" t="str">
        <f>"942.903"</f>
        <v>942.903</v>
      </c>
      <c r="O1066" t="s">
        <v>5207</v>
      </c>
      <c r="P1066" t="b">
        <v>0</v>
      </c>
      <c r="Q1066" t="b">
        <v>0</v>
      </c>
      <c r="R1066" t="str">
        <f>"9781907322600"</f>
        <v>9781907322600</v>
      </c>
      <c r="S1066" t="str">
        <f>"9781781881651"</f>
        <v>9781781881651</v>
      </c>
      <c r="T1066">
        <v>881430555</v>
      </c>
    </row>
    <row r="1067" spans="1:20" x14ac:dyDescent="0.25">
      <c r="A1067">
        <v>796460</v>
      </c>
      <c r="B1067" t="s">
        <v>5208</v>
      </c>
      <c r="D1067" t="s">
        <v>487</v>
      </c>
      <c r="E1067" t="s">
        <v>488</v>
      </c>
      <c r="F1067">
        <v>2012</v>
      </c>
      <c r="G1067" t="s">
        <v>797</v>
      </c>
      <c r="H1067" t="s">
        <v>5209</v>
      </c>
      <c r="I1067" t="s">
        <v>5210</v>
      </c>
      <c r="J1067" t="s">
        <v>26</v>
      </c>
      <c r="K1067" t="s">
        <v>27</v>
      </c>
      <c r="L1067" t="b">
        <v>1</v>
      </c>
      <c r="M1067" t="s">
        <v>5211</v>
      </c>
      <c r="N1067" t="str">
        <f>"891.661109"</f>
        <v>891.661109</v>
      </c>
      <c r="O1067" t="s">
        <v>5207</v>
      </c>
      <c r="P1067" t="b">
        <v>0</v>
      </c>
      <c r="Q1067" t="b">
        <v>0</v>
      </c>
      <c r="R1067" t="str">
        <f>"9781907322587"</f>
        <v>9781907322587</v>
      </c>
      <c r="S1067" t="str">
        <f>"9781781881644"</f>
        <v>9781781881644</v>
      </c>
      <c r="T1067">
        <v>863061038</v>
      </c>
    </row>
    <row r="1068" spans="1:20" x14ac:dyDescent="0.25">
      <c r="A1068">
        <v>796459</v>
      </c>
      <c r="B1068" t="s">
        <v>5212</v>
      </c>
      <c r="C1068" t="s">
        <v>5213</v>
      </c>
      <c r="D1068" t="s">
        <v>487</v>
      </c>
      <c r="E1068" t="s">
        <v>488</v>
      </c>
      <c r="F1068">
        <v>2012</v>
      </c>
      <c r="G1068" t="s">
        <v>501</v>
      </c>
      <c r="H1068" t="s">
        <v>5214</v>
      </c>
      <c r="I1068" t="s">
        <v>5215</v>
      </c>
      <c r="J1068" t="s">
        <v>26</v>
      </c>
      <c r="K1068" t="s">
        <v>27</v>
      </c>
      <c r="L1068" t="b">
        <v>1</v>
      </c>
      <c r="M1068" t="s">
        <v>5216</v>
      </c>
      <c r="N1068" t="str">
        <f>"831.03209352042"</f>
        <v>831.03209352042</v>
      </c>
      <c r="O1068" t="s">
        <v>5217</v>
      </c>
      <c r="P1068" t="b">
        <v>0</v>
      </c>
      <c r="Q1068" t="b">
        <v>0</v>
      </c>
      <c r="R1068" t="str">
        <f>"9781907322464"</f>
        <v>9781907322464</v>
      </c>
      <c r="S1068" t="str">
        <f>"9781781881637"</f>
        <v>9781781881637</v>
      </c>
      <c r="T1068">
        <v>881726365</v>
      </c>
    </row>
    <row r="1069" spans="1:20" x14ac:dyDescent="0.25">
      <c r="A1069">
        <v>796458</v>
      </c>
      <c r="B1069" t="s">
        <v>5218</v>
      </c>
      <c r="C1069" t="s">
        <v>5219</v>
      </c>
      <c r="D1069" t="s">
        <v>487</v>
      </c>
      <c r="E1069" t="s">
        <v>488</v>
      </c>
      <c r="F1069">
        <v>2012</v>
      </c>
      <c r="G1069" t="s">
        <v>5220</v>
      </c>
      <c r="H1069" t="s">
        <v>5221</v>
      </c>
      <c r="I1069" t="s">
        <v>5222</v>
      </c>
      <c r="J1069" t="s">
        <v>26</v>
      </c>
      <c r="K1069" t="s">
        <v>27</v>
      </c>
      <c r="L1069" t="b">
        <v>1</v>
      </c>
      <c r="M1069" t="s">
        <v>5223</v>
      </c>
      <c r="N1069" t="str">
        <f>"833.8"</f>
        <v>833.8</v>
      </c>
      <c r="O1069" t="s">
        <v>5224</v>
      </c>
      <c r="P1069" t="b">
        <v>0</v>
      </c>
      <c r="Q1069" t="b">
        <v>0</v>
      </c>
      <c r="R1069" t="str">
        <f>"9781907322297"</f>
        <v>9781907322297</v>
      </c>
      <c r="S1069" t="str">
        <f>"9781781881620"</f>
        <v>9781781881620</v>
      </c>
      <c r="T1069">
        <v>881726961</v>
      </c>
    </row>
    <row r="1070" spans="1:20" x14ac:dyDescent="0.25">
      <c r="A1070">
        <v>796457</v>
      </c>
      <c r="B1070" t="s">
        <v>5225</v>
      </c>
      <c r="C1070" t="s">
        <v>5226</v>
      </c>
      <c r="D1070" t="s">
        <v>487</v>
      </c>
      <c r="E1070" t="s">
        <v>488</v>
      </c>
      <c r="F1070">
        <v>2012</v>
      </c>
      <c r="G1070" t="s">
        <v>5220</v>
      </c>
      <c r="H1070" t="s">
        <v>5227</v>
      </c>
      <c r="I1070" t="s">
        <v>5228</v>
      </c>
      <c r="J1070" t="s">
        <v>26</v>
      </c>
      <c r="K1070" t="s">
        <v>27</v>
      </c>
      <c r="L1070" t="b">
        <v>1</v>
      </c>
      <c r="M1070" t="s">
        <v>5229</v>
      </c>
      <c r="N1070" t="str">
        <f>"838/.709"</f>
        <v>838/.709</v>
      </c>
      <c r="O1070" t="s">
        <v>5230</v>
      </c>
      <c r="P1070" t="b">
        <v>0</v>
      </c>
      <c r="Q1070" t="b">
        <v>0</v>
      </c>
      <c r="R1070" t="str">
        <f>"9781907322228"</f>
        <v>9781907322228</v>
      </c>
      <c r="S1070" t="str">
        <f>"9781781881583"</f>
        <v>9781781881583</v>
      </c>
      <c r="T1070">
        <v>881430655</v>
      </c>
    </row>
    <row r="1071" spans="1:20" x14ac:dyDescent="0.25">
      <c r="A1071">
        <v>795101</v>
      </c>
      <c r="B1071" t="s">
        <v>5231</v>
      </c>
      <c r="C1071" t="s">
        <v>5232</v>
      </c>
      <c r="D1071" t="s">
        <v>131</v>
      </c>
      <c r="E1071" t="s">
        <v>3785</v>
      </c>
      <c r="F1071">
        <v>2013</v>
      </c>
      <c r="G1071" t="s">
        <v>5233</v>
      </c>
      <c r="H1071" t="s">
        <v>5234</v>
      </c>
      <c r="I1071" t="s">
        <v>5235</v>
      </c>
      <c r="J1071" t="s">
        <v>26</v>
      </c>
      <c r="K1071" t="s">
        <v>48</v>
      </c>
      <c r="L1071" t="b">
        <v>1</v>
      </c>
      <c r="M1071" t="s">
        <v>5236</v>
      </c>
      <c r="N1071" t="str">
        <f>"892.7/47080956953"</f>
        <v>892.7/47080956953</v>
      </c>
      <c r="P1071" t="b">
        <v>0</v>
      </c>
      <c r="R1071" t="str">
        <f>"9781566569064"</f>
        <v>9781566569064</v>
      </c>
      <c r="S1071" t="str">
        <f>"9781623710415"</f>
        <v>9781623710415</v>
      </c>
      <c r="T1071">
        <v>876375487</v>
      </c>
    </row>
    <row r="1072" spans="1:20" x14ac:dyDescent="0.25">
      <c r="A1072">
        <v>795096</v>
      </c>
      <c r="B1072" t="s">
        <v>5237</v>
      </c>
      <c r="D1072" t="s">
        <v>131</v>
      </c>
      <c r="E1072" t="s">
        <v>3785</v>
      </c>
      <c r="F1072">
        <v>2014</v>
      </c>
      <c r="G1072" t="s">
        <v>283</v>
      </c>
      <c r="H1072" t="s">
        <v>5238</v>
      </c>
      <c r="I1072" t="s">
        <v>5239</v>
      </c>
      <c r="J1072" t="s">
        <v>26</v>
      </c>
      <c r="K1072" t="s">
        <v>48</v>
      </c>
      <c r="L1072" t="b">
        <v>1</v>
      </c>
      <c r="M1072" t="s">
        <v>5240</v>
      </c>
      <c r="N1072" t="str">
        <f>"780.92/2569442"</f>
        <v>780.92/2569442</v>
      </c>
      <c r="P1072" t="b">
        <v>0</v>
      </c>
      <c r="Q1072" t="b">
        <v>0</v>
      </c>
      <c r="R1072" t="str">
        <f>"9781566569255"</f>
        <v>9781566569255</v>
      </c>
      <c r="S1072" t="str">
        <f>"9781623710392"</f>
        <v>9781623710392</v>
      </c>
      <c r="T1072">
        <v>869641386</v>
      </c>
    </row>
    <row r="1073" spans="1:20" x14ac:dyDescent="0.25">
      <c r="A1073">
        <v>790605</v>
      </c>
      <c r="B1073" t="s">
        <v>5241</v>
      </c>
      <c r="D1073" t="s">
        <v>5242</v>
      </c>
      <c r="E1073" t="s">
        <v>5243</v>
      </c>
      <c r="F1073">
        <v>2014</v>
      </c>
      <c r="G1073" t="s">
        <v>797</v>
      </c>
      <c r="H1073" t="s">
        <v>5244</v>
      </c>
      <c r="I1073" t="s">
        <v>1147</v>
      </c>
      <c r="J1073" t="s">
        <v>26</v>
      </c>
      <c r="K1073" t="s">
        <v>27</v>
      </c>
      <c r="L1073" t="b">
        <v>1</v>
      </c>
      <c r="M1073" t="s">
        <v>5245</v>
      </c>
      <c r="N1073" t="str">
        <f>"821.92"</f>
        <v>821.92</v>
      </c>
      <c r="P1073" t="b">
        <v>0</v>
      </c>
      <c r="R1073" t="str">
        <f>"9789956791231"</f>
        <v>9789956791231</v>
      </c>
      <c r="S1073" t="str">
        <f>"9789956792245"</f>
        <v>9789956792245</v>
      </c>
      <c r="T1073">
        <v>881417038</v>
      </c>
    </row>
    <row r="1074" spans="1:20" x14ac:dyDescent="0.25">
      <c r="A1074">
        <v>788941</v>
      </c>
      <c r="B1074" t="s">
        <v>5246</v>
      </c>
      <c r="C1074" t="s">
        <v>5247</v>
      </c>
      <c r="D1074" t="s">
        <v>131</v>
      </c>
      <c r="E1074" t="s">
        <v>1737</v>
      </c>
      <c r="F1074">
        <v>2014</v>
      </c>
      <c r="G1074" t="s">
        <v>5248</v>
      </c>
      <c r="H1074" t="s">
        <v>5249</v>
      </c>
      <c r="I1074" t="s">
        <v>5250</v>
      </c>
      <c r="J1074" t="s">
        <v>26</v>
      </c>
      <c r="K1074" t="s">
        <v>86</v>
      </c>
      <c r="L1074" t="b">
        <v>1</v>
      </c>
      <c r="M1074" t="s">
        <v>5251</v>
      </c>
      <c r="N1074" t="str">
        <f>"338.1091724"</f>
        <v>338.1091724</v>
      </c>
      <c r="P1074" t="b">
        <v>0</v>
      </c>
      <c r="R1074" t="str">
        <f>"9781771640138"</f>
        <v>9781771640138</v>
      </c>
      <c r="S1074" t="str">
        <f>"9781771640145"</f>
        <v>9781771640145</v>
      </c>
      <c r="T1074">
        <v>880452261</v>
      </c>
    </row>
    <row r="1075" spans="1:20" x14ac:dyDescent="0.25">
      <c r="A1075">
        <v>786473</v>
      </c>
      <c r="B1075" t="s">
        <v>5252</v>
      </c>
      <c r="D1075" t="s">
        <v>487</v>
      </c>
      <c r="E1075" t="s">
        <v>488</v>
      </c>
      <c r="F1075">
        <v>2014</v>
      </c>
      <c r="G1075" t="s">
        <v>1026</v>
      </c>
      <c r="H1075" t="s">
        <v>5253</v>
      </c>
      <c r="I1075" t="s">
        <v>5254</v>
      </c>
      <c r="J1075" t="s">
        <v>26</v>
      </c>
      <c r="K1075" t="s">
        <v>27</v>
      </c>
      <c r="L1075" t="b">
        <v>1</v>
      </c>
      <c r="M1075" t="s">
        <v>5255</v>
      </c>
      <c r="N1075" t="str">
        <f>"828/.807"</f>
        <v>828/.807</v>
      </c>
      <c r="P1075" t="b">
        <v>0</v>
      </c>
      <c r="Q1075" t="b">
        <v>0</v>
      </c>
      <c r="R1075" t="str">
        <f>"9781907322556"</f>
        <v>9781907322556</v>
      </c>
      <c r="S1075" t="str">
        <f>"9781781881521"</f>
        <v>9781781881521</v>
      </c>
      <c r="T1075">
        <v>881521923</v>
      </c>
    </row>
    <row r="1076" spans="1:20" x14ac:dyDescent="0.25">
      <c r="A1076">
        <v>786472</v>
      </c>
      <c r="B1076" t="s">
        <v>5256</v>
      </c>
      <c r="D1076" t="s">
        <v>487</v>
      </c>
      <c r="E1076" t="s">
        <v>488</v>
      </c>
      <c r="F1076">
        <v>2014</v>
      </c>
      <c r="G1076" t="s">
        <v>5257</v>
      </c>
      <c r="H1076" t="s">
        <v>5258</v>
      </c>
      <c r="I1076" t="s">
        <v>5259</v>
      </c>
      <c r="J1076" t="s">
        <v>26</v>
      </c>
      <c r="K1076" t="s">
        <v>27</v>
      </c>
      <c r="L1076" t="b">
        <v>1</v>
      </c>
      <c r="M1076" t="s">
        <v>5260</v>
      </c>
      <c r="N1076" t="str">
        <f>"868/.6209"</f>
        <v>868/.6209</v>
      </c>
      <c r="O1076" t="s">
        <v>5261</v>
      </c>
      <c r="P1076" t="b">
        <v>0</v>
      </c>
      <c r="Q1076" t="b">
        <v>0</v>
      </c>
      <c r="R1076" t="str">
        <f>"9781781880777"</f>
        <v>9781781880777</v>
      </c>
      <c r="S1076" t="str">
        <f>"9781781881507"</f>
        <v>9781781881507</v>
      </c>
      <c r="T1076">
        <v>881748883</v>
      </c>
    </row>
    <row r="1077" spans="1:20" x14ac:dyDescent="0.25">
      <c r="A1077">
        <v>785972</v>
      </c>
      <c r="B1077" t="s">
        <v>5262</v>
      </c>
      <c r="C1077" t="s">
        <v>5263</v>
      </c>
      <c r="D1077" t="s">
        <v>123</v>
      </c>
      <c r="E1077" t="s">
        <v>1927</v>
      </c>
      <c r="F1077">
        <v>2014</v>
      </c>
      <c r="G1077" t="s">
        <v>1928</v>
      </c>
      <c r="H1077" t="s">
        <v>5264</v>
      </c>
      <c r="I1077" t="s">
        <v>5265</v>
      </c>
      <c r="J1077" t="s">
        <v>26</v>
      </c>
      <c r="K1077" t="s">
        <v>48</v>
      </c>
      <c r="L1077" t="b">
        <v>1</v>
      </c>
      <c r="M1077" t="s">
        <v>5266</v>
      </c>
      <c r="N1077" t="str">
        <f>"973"</f>
        <v>973</v>
      </c>
      <c r="P1077" t="b">
        <v>0</v>
      </c>
      <c r="Q1077" t="b">
        <v>0</v>
      </c>
      <c r="R1077" t="str">
        <f>"9781621572039"</f>
        <v>9781621572039</v>
      </c>
      <c r="S1077" t="str">
        <f>"9781621572282"</f>
        <v>9781621572282</v>
      </c>
      <c r="T1077">
        <v>880235357</v>
      </c>
    </row>
    <row r="1078" spans="1:20" x14ac:dyDescent="0.25">
      <c r="A1078">
        <v>783210</v>
      </c>
      <c r="B1078" t="s">
        <v>5267</v>
      </c>
      <c r="D1078" t="s">
        <v>5075</v>
      </c>
      <c r="E1078" t="s">
        <v>5076</v>
      </c>
      <c r="F1078">
        <v>2009</v>
      </c>
      <c r="G1078" t="s">
        <v>4275</v>
      </c>
      <c r="H1078" t="s">
        <v>5268</v>
      </c>
      <c r="I1078" t="s">
        <v>5269</v>
      </c>
      <c r="J1078" t="s">
        <v>26</v>
      </c>
      <c r="K1078" t="s">
        <v>27</v>
      </c>
      <c r="L1078" t="b">
        <v>1</v>
      </c>
      <c r="M1078" t="s">
        <v>5270</v>
      </c>
      <c r="N1078" t="str">
        <f>"617.6/342"</f>
        <v>617.6/342</v>
      </c>
      <c r="P1078" t="b">
        <v>0</v>
      </c>
      <c r="R1078" t="str">
        <f>"9780867154832"</f>
        <v>9780867154832</v>
      </c>
      <c r="S1078" t="str">
        <f>"9780867155426"</f>
        <v>9780867155426</v>
      </c>
      <c r="T1078">
        <v>880580107</v>
      </c>
    </row>
    <row r="1079" spans="1:20" x14ac:dyDescent="0.25">
      <c r="A1079">
        <v>782827</v>
      </c>
      <c r="B1079" t="s">
        <v>5271</v>
      </c>
      <c r="C1079" t="s">
        <v>5272</v>
      </c>
      <c r="D1079" t="s">
        <v>2238</v>
      </c>
      <c r="E1079" t="s">
        <v>2239</v>
      </c>
      <c r="F1079">
        <v>2014</v>
      </c>
      <c r="G1079" t="s">
        <v>182</v>
      </c>
      <c r="H1079" t="s">
        <v>5273</v>
      </c>
      <c r="J1079" t="s">
        <v>26</v>
      </c>
      <c r="K1079" t="s">
        <v>86</v>
      </c>
      <c r="L1079" t="b">
        <v>1</v>
      </c>
      <c r="M1079" t="s">
        <v>5274</v>
      </c>
      <c r="N1079" t="str">
        <f>"941.05"</f>
        <v>941.05</v>
      </c>
      <c r="P1079" t="b">
        <v>0</v>
      </c>
      <c r="R1079" t="str">
        <f>"9780582771888"</f>
        <v>9780582771888</v>
      </c>
      <c r="S1079" t="str">
        <f>"9781317868828"</f>
        <v>9781317868828</v>
      </c>
      <c r="T1079">
        <v>880827108</v>
      </c>
    </row>
    <row r="1080" spans="1:20" x14ac:dyDescent="0.25">
      <c r="A1080">
        <v>781225</v>
      </c>
      <c r="B1080" t="s">
        <v>5275</v>
      </c>
      <c r="D1080" t="s">
        <v>5276</v>
      </c>
      <c r="E1080" t="s">
        <v>5277</v>
      </c>
      <c r="F1080">
        <v>2014</v>
      </c>
      <c r="G1080" t="s">
        <v>242</v>
      </c>
      <c r="H1080" t="s">
        <v>5278</v>
      </c>
      <c r="I1080" t="s">
        <v>5279</v>
      </c>
      <c r="J1080" t="s">
        <v>26</v>
      </c>
      <c r="K1080" t="s">
        <v>48</v>
      </c>
      <c r="L1080" t="b">
        <v>1</v>
      </c>
      <c r="M1080" t="s">
        <v>5280</v>
      </c>
      <c r="N1080" t="str">
        <f>"647.95092"</f>
        <v>647.95092</v>
      </c>
      <c r="P1080" t="b">
        <v>0</v>
      </c>
      <c r="S1080" t="str">
        <f>"9780755250844"</f>
        <v>9780755250844</v>
      </c>
      <c r="T1080">
        <v>881240564</v>
      </c>
    </row>
    <row r="1081" spans="1:20" x14ac:dyDescent="0.25">
      <c r="A1081">
        <v>780825</v>
      </c>
      <c r="B1081" t="s">
        <v>5281</v>
      </c>
      <c r="C1081" t="s">
        <v>5282</v>
      </c>
      <c r="D1081" t="s">
        <v>255</v>
      </c>
      <c r="E1081" t="s">
        <v>256</v>
      </c>
      <c r="F1081">
        <v>2014</v>
      </c>
      <c r="G1081" t="s">
        <v>2713</v>
      </c>
      <c r="H1081" t="s">
        <v>5283</v>
      </c>
      <c r="I1081" t="s">
        <v>5284</v>
      </c>
      <c r="J1081" t="s">
        <v>26</v>
      </c>
      <c r="K1081" t="s">
        <v>86</v>
      </c>
      <c r="L1081" t="b">
        <v>1</v>
      </c>
      <c r="M1081" t="s">
        <v>5285</v>
      </c>
      <c r="N1081" t="str">
        <f>"720.993465"</f>
        <v>720.993465</v>
      </c>
      <c r="P1081" t="b">
        <v>0</v>
      </c>
      <c r="S1081" t="str">
        <f>"9781775587224"</f>
        <v>9781775587224</v>
      </c>
      <c r="T1081">
        <v>880579964</v>
      </c>
    </row>
    <row r="1082" spans="1:20" x14ac:dyDescent="0.25">
      <c r="A1082">
        <v>779072</v>
      </c>
      <c r="B1082" t="s">
        <v>5286</v>
      </c>
      <c r="D1082" t="s">
        <v>5287</v>
      </c>
      <c r="E1082" t="s">
        <v>5288</v>
      </c>
      <c r="F1082">
        <v>2007</v>
      </c>
      <c r="G1082" t="s">
        <v>876</v>
      </c>
      <c r="H1082" t="s">
        <v>5289</v>
      </c>
      <c r="I1082" t="s">
        <v>5290</v>
      </c>
      <c r="J1082" t="s">
        <v>26</v>
      </c>
      <c r="K1082" t="s">
        <v>27</v>
      </c>
      <c r="L1082" t="b">
        <v>1</v>
      </c>
      <c r="M1082" t="s">
        <v>5291</v>
      </c>
      <c r="N1082" t="str">
        <f>"616.853"</f>
        <v>616.853</v>
      </c>
      <c r="O1082" t="s">
        <v>5292</v>
      </c>
      <c r="P1082" t="b">
        <v>0</v>
      </c>
      <c r="R1082" t="str">
        <f>"9782742006557"</f>
        <v>9782742006557</v>
      </c>
      <c r="S1082" t="str">
        <f>"9782742009152"</f>
        <v>9782742009152</v>
      </c>
      <c r="T1082">
        <v>894511230</v>
      </c>
    </row>
    <row r="1083" spans="1:20" x14ac:dyDescent="0.25">
      <c r="A1083">
        <v>779070</v>
      </c>
      <c r="B1083" t="s">
        <v>5293</v>
      </c>
      <c r="C1083" t="s">
        <v>5294</v>
      </c>
      <c r="D1083" t="s">
        <v>5287</v>
      </c>
      <c r="E1083" t="s">
        <v>5288</v>
      </c>
      <c r="F1083">
        <v>2008</v>
      </c>
      <c r="G1083" t="s">
        <v>876</v>
      </c>
      <c r="H1083" t="s">
        <v>5295</v>
      </c>
      <c r="I1083" t="s">
        <v>5296</v>
      </c>
      <c r="J1083" t="s">
        <v>26</v>
      </c>
      <c r="K1083" t="s">
        <v>27</v>
      </c>
      <c r="L1083" t="b">
        <v>1</v>
      </c>
      <c r="M1083" t="s">
        <v>5297</v>
      </c>
      <c r="N1083" t="str">
        <f>"616.853"</f>
        <v>616.853</v>
      </c>
      <c r="O1083" t="s">
        <v>5292</v>
      </c>
      <c r="P1083" t="b">
        <v>0</v>
      </c>
      <c r="R1083" t="str">
        <f>"9782742006847"</f>
        <v>9782742006847</v>
      </c>
      <c r="S1083" t="str">
        <f>"9782742010028"</f>
        <v>9782742010028</v>
      </c>
      <c r="T1083">
        <v>894511232</v>
      </c>
    </row>
    <row r="1084" spans="1:20" x14ac:dyDescent="0.25">
      <c r="A1084">
        <v>779047</v>
      </c>
      <c r="B1084" t="s">
        <v>5298</v>
      </c>
      <c r="D1084" t="s">
        <v>5287</v>
      </c>
      <c r="E1084" t="s">
        <v>5288</v>
      </c>
      <c r="F1084">
        <v>2009</v>
      </c>
      <c r="G1084" t="s">
        <v>5299</v>
      </c>
      <c r="H1084" t="s">
        <v>5300</v>
      </c>
      <c r="I1084" t="s">
        <v>5301</v>
      </c>
      <c r="J1084" t="s">
        <v>26</v>
      </c>
      <c r="K1084" t="s">
        <v>27</v>
      </c>
      <c r="L1084" t="b">
        <v>1</v>
      </c>
      <c r="M1084" t="s">
        <v>5302</v>
      </c>
      <c r="N1084" t="str">
        <f>"618.928"</f>
        <v>618.928</v>
      </c>
      <c r="O1084" t="s">
        <v>5303</v>
      </c>
      <c r="P1084" t="b">
        <v>0</v>
      </c>
      <c r="R1084" t="str">
        <f>"9782742007318"</f>
        <v>9782742007318</v>
      </c>
      <c r="S1084" t="str">
        <f>"9782742010592"</f>
        <v>9782742010592</v>
      </c>
      <c r="T1084">
        <v>874163710</v>
      </c>
    </row>
    <row r="1085" spans="1:20" x14ac:dyDescent="0.25">
      <c r="A1085">
        <v>779035</v>
      </c>
      <c r="B1085" t="s">
        <v>5304</v>
      </c>
      <c r="C1085" t="s">
        <v>5305</v>
      </c>
      <c r="D1085" t="s">
        <v>5287</v>
      </c>
      <c r="E1085" t="s">
        <v>5288</v>
      </c>
      <c r="F1085">
        <v>2008</v>
      </c>
      <c r="G1085" t="s">
        <v>5299</v>
      </c>
      <c r="H1085" t="s">
        <v>5306</v>
      </c>
      <c r="I1085" t="s">
        <v>5307</v>
      </c>
      <c r="J1085" t="s">
        <v>26</v>
      </c>
      <c r="K1085" t="s">
        <v>27</v>
      </c>
      <c r="L1085" t="b">
        <v>1</v>
      </c>
      <c r="M1085" t="s">
        <v>5308</v>
      </c>
      <c r="N1085" t="str">
        <f>"618.928"</f>
        <v>618.928</v>
      </c>
      <c r="O1085" t="s">
        <v>5303</v>
      </c>
      <c r="P1085" t="b">
        <v>0</v>
      </c>
      <c r="R1085" t="str">
        <f>"9782742007233"</f>
        <v>9782742007233</v>
      </c>
      <c r="S1085" t="str">
        <f>"9782742010202"</f>
        <v>9782742010202</v>
      </c>
      <c r="T1085">
        <v>874163730</v>
      </c>
    </row>
    <row r="1086" spans="1:20" x14ac:dyDescent="0.25">
      <c r="A1086">
        <v>779033</v>
      </c>
      <c r="B1086" t="s">
        <v>5309</v>
      </c>
      <c r="C1086" t="s">
        <v>5310</v>
      </c>
      <c r="D1086" t="s">
        <v>5287</v>
      </c>
      <c r="E1086" t="s">
        <v>5288</v>
      </c>
      <c r="F1086">
        <v>2007</v>
      </c>
      <c r="G1086" t="s">
        <v>5299</v>
      </c>
      <c r="H1086" t="s">
        <v>5311</v>
      </c>
      <c r="I1086" t="s">
        <v>5312</v>
      </c>
      <c r="J1086" t="s">
        <v>26</v>
      </c>
      <c r="K1086" t="s">
        <v>27</v>
      </c>
      <c r="L1086" t="b">
        <v>1</v>
      </c>
      <c r="M1086" t="s">
        <v>5313</v>
      </c>
      <c r="N1086" t="str">
        <f>"618.9283"</f>
        <v>618.9283</v>
      </c>
      <c r="O1086" t="s">
        <v>5303</v>
      </c>
      <c r="P1086" t="b">
        <v>0</v>
      </c>
      <c r="R1086" t="str">
        <f>"9782742006571"</f>
        <v>9782742006571</v>
      </c>
      <c r="S1086" t="str">
        <f>"9782742009060"</f>
        <v>9782742009060</v>
      </c>
      <c r="T1086">
        <v>608811744</v>
      </c>
    </row>
    <row r="1087" spans="1:20" x14ac:dyDescent="0.25">
      <c r="A1087">
        <v>779031</v>
      </c>
      <c r="B1087" t="s">
        <v>5314</v>
      </c>
      <c r="D1087" t="s">
        <v>5287</v>
      </c>
      <c r="E1087" t="s">
        <v>5288</v>
      </c>
      <c r="F1087">
        <v>2006</v>
      </c>
      <c r="G1087" t="s">
        <v>5299</v>
      </c>
      <c r="H1087" t="s">
        <v>5315</v>
      </c>
      <c r="I1087" t="s">
        <v>5316</v>
      </c>
      <c r="J1087" t="s">
        <v>26</v>
      </c>
      <c r="K1087" t="s">
        <v>27</v>
      </c>
      <c r="L1087" t="b">
        <v>1</v>
      </c>
      <c r="M1087" t="s">
        <v>5317</v>
      </c>
      <c r="N1087" t="str">
        <f>"618.928"</f>
        <v>618.928</v>
      </c>
      <c r="O1087" t="s">
        <v>5303</v>
      </c>
      <c r="P1087" t="b">
        <v>0</v>
      </c>
      <c r="R1087" t="str">
        <f>"9782742006090"</f>
        <v>9782742006090</v>
      </c>
      <c r="S1087" t="str">
        <f>"9782742008704"</f>
        <v>9782742008704</v>
      </c>
      <c r="T1087">
        <v>874162693</v>
      </c>
    </row>
    <row r="1088" spans="1:20" x14ac:dyDescent="0.25">
      <c r="A1088">
        <v>779030</v>
      </c>
      <c r="B1088" t="s">
        <v>5318</v>
      </c>
      <c r="C1088" t="s">
        <v>5319</v>
      </c>
      <c r="D1088" t="s">
        <v>5287</v>
      </c>
      <c r="E1088" t="s">
        <v>5288</v>
      </c>
      <c r="F1088">
        <v>2005</v>
      </c>
      <c r="G1088" t="s">
        <v>5299</v>
      </c>
      <c r="H1088" t="s">
        <v>5320</v>
      </c>
      <c r="I1088" t="s">
        <v>5321</v>
      </c>
      <c r="J1088" t="s">
        <v>26</v>
      </c>
      <c r="K1088" t="s">
        <v>27</v>
      </c>
      <c r="L1088" t="b">
        <v>1</v>
      </c>
      <c r="M1088" t="s">
        <v>5322</v>
      </c>
      <c r="N1088" t="str">
        <f>"618.92/8"</f>
        <v>618.92/8</v>
      </c>
      <c r="O1088" t="s">
        <v>5303</v>
      </c>
      <c r="P1088" t="b">
        <v>0</v>
      </c>
      <c r="R1088" t="str">
        <f>"9782742005529"</f>
        <v>9782742005529</v>
      </c>
      <c r="S1088" t="str">
        <f>"9782742013418"</f>
        <v>9782742013418</v>
      </c>
      <c r="T1088">
        <v>894511341</v>
      </c>
    </row>
    <row r="1089" spans="1:20" x14ac:dyDescent="0.25">
      <c r="A1089">
        <v>779020</v>
      </c>
      <c r="B1089" t="s">
        <v>5323</v>
      </c>
      <c r="D1089" t="s">
        <v>5287</v>
      </c>
      <c r="E1089" t="s">
        <v>5288</v>
      </c>
      <c r="F1089">
        <v>2008</v>
      </c>
      <c r="G1089" t="s">
        <v>876</v>
      </c>
      <c r="H1089" t="s">
        <v>5324</v>
      </c>
      <c r="I1089" t="s">
        <v>5325</v>
      </c>
      <c r="J1089" t="s">
        <v>26</v>
      </c>
      <c r="K1089" t="s">
        <v>27</v>
      </c>
      <c r="L1089" t="b">
        <v>1</v>
      </c>
      <c r="M1089" t="s">
        <v>5326</v>
      </c>
      <c r="N1089" t="str">
        <f>"616.853"</f>
        <v>616.853</v>
      </c>
      <c r="P1089" t="b">
        <v>0</v>
      </c>
      <c r="R1089" t="str">
        <f>"9782742006182"</f>
        <v>9782742006182</v>
      </c>
      <c r="S1089" t="str">
        <f>"9782742009664"</f>
        <v>9782742009664</v>
      </c>
      <c r="T1089">
        <v>874163732</v>
      </c>
    </row>
    <row r="1090" spans="1:20" x14ac:dyDescent="0.25">
      <c r="A1090">
        <v>778995</v>
      </c>
      <c r="B1090" t="s">
        <v>5327</v>
      </c>
      <c r="C1090" t="s">
        <v>5328</v>
      </c>
      <c r="D1090" t="s">
        <v>5287</v>
      </c>
      <c r="E1090" t="s">
        <v>5288</v>
      </c>
      <c r="F1090">
        <v>2006</v>
      </c>
      <c r="G1090" t="s">
        <v>876</v>
      </c>
      <c r="H1090" t="s">
        <v>5329</v>
      </c>
      <c r="I1090" t="s">
        <v>5330</v>
      </c>
      <c r="J1090" t="s">
        <v>26</v>
      </c>
      <c r="K1090" t="s">
        <v>27</v>
      </c>
      <c r="L1090" t="b">
        <v>1</v>
      </c>
      <c r="M1090" t="s">
        <v>5331</v>
      </c>
      <c r="N1090" t="str">
        <f>"616.853"</f>
        <v>616.853</v>
      </c>
      <c r="O1090" t="s">
        <v>5292</v>
      </c>
      <c r="P1090" t="b">
        <v>0</v>
      </c>
      <c r="R1090" t="str">
        <f>"9782742006212"</f>
        <v>9782742006212</v>
      </c>
      <c r="S1090" t="str">
        <f>"9782742008797"</f>
        <v>9782742008797</v>
      </c>
      <c r="T1090">
        <v>874163677</v>
      </c>
    </row>
    <row r="1091" spans="1:20" x14ac:dyDescent="0.25">
      <c r="A1091">
        <v>778987</v>
      </c>
      <c r="B1091" t="s">
        <v>5332</v>
      </c>
      <c r="C1091" t="s">
        <v>5333</v>
      </c>
      <c r="D1091" t="s">
        <v>5287</v>
      </c>
      <c r="E1091" t="s">
        <v>5288</v>
      </c>
      <c r="F1091">
        <v>2005</v>
      </c>
      <c r="G1091" t="s">
        <v>31</v>
      </c>
      <c r="H1091" t="s">
        <v>5334</v>
      </c>
      <c r="I1091" t="s">
        <v>5335</v>
      </c>
      <c r="J1091" t="s">
        <v>26</v>
      </c>
      <c r="K1091" t="s">
        <v>27</v>
      </c>
      <c r="L1091" t="b">
        <v>1</v>
      </c>
      <c r="M1091" t="s">
        <v>5336</v>
      </c>
      <c r="N1091" t="str">
        <f>"701.15"</f>
        <v>701.15</v>
      </c>
      <c r="P1091" t="b">
        <v>0</v>
      </c>
      <c r="R1091" t="str">
        <f>"9782742005789"</f>
        <v>9782742005789</v>
      </c>
      <c r="S1091" t="str">
        <f>"9782742013142"</f>
        <v>9782742013142</v>
      </c>
      <c r="T1091">
        <v>874163438</v>
      </c>
    </row>
    <row r="1092" spans="1:20" x14ac:dyDescent="0.25">
      <c r="A1092">
        <v>778967</v>
      </c>
      <c r="B1092" t="s">
        <v>5337</v>
      </c>
      <c r="C1092" t="s">
        <v>5338</v>
      </c>
      <c r="D1092" t="s">
        <v>5287</v>
      </c>
      <c r="E1092" t="s">
        <v>5288</v>
      </c>
      <c r="F1092">
        <v>2004</v>
      </c>
      <c r="G1092" t="s">
        <v>876</v>
      </c>
      <c r="H1092" t="s">
        <v>5339</v>
      </c>
      <c r="I1092" t="s">
        <v>5325</v>
      </c>
      <c r="J1092" t="s">
        <v>26</v>
      </c>
      <c r="K1092" t="s">
        <v>27</v>
      </c>
      <c r="L1092" t="b">
        <v>1</v>
      </c>
      <c r="M1092" t="s">
        <v>5340</v>
      </c>
      <c r="N1092" t="str">
        <f>"616.853"</f>
        <v>616.853</v>
      </c>
      <c r="O1092" t="s">
        <v>5341</v>
      </c>
      <c r="P1092" t="b">
        <v>0</v>
      </c>
      <c r="R1092" t="str">
        <f>"9782742005406"</f>
        <v>9782742005406</v>
      </c>
      <c r="S1092" t="str">
        <f>"9782742012725"</f>
        <v>9782742012725</v>
      </c>
      <c r="T1092">
        <v>874163575</v>
      </c>
    </row>
    <row r="1093" spans="1:20" x14ac:dyDescent="0.25">
      <c r="A1093">
        <v>778898</v>
      </c>
      <c r="B1093" t="s">
        <v>5342</v>
      </c>
      <c r="C1093" t="s">
        <v>5343</v>
      </c>
      <c r="D1093" t="s">
        <v>1032</v>
      </c>
      <c r="E1093" t="s">
        <v>1033</v>
      </c>
      <c r="F1093">
        <v>2014</v>
      </c>
      <c r="G1093" t="s">
        <v>2556</v>
      </c>
      <c r="H1093" t="s">
        <v>5344</v>
      </c>
      <c r="I1093" t="s">
        <v>5345</v>
      </c>
      <c r="J1093" t="s">
        <v>26</v>
      </c>
      <c r="K1093" t="s">
        <v>86</v>
      </c>
      <c r="L1093" t="b">
        <v>1</v>
      </c>
      <c r="M1093" t="s">
        <v>5346</v>
      </c>
      <c r="N1093" t="str">
        <f>"362.77"</f>
        <v>362.77</v>
      </c>
      <c r="P1093" t="b">
        <v>0</v>
      </c>
      <c r="R1093" t="str">
        <f>"9780814724965"</f>
        <v>9780814724965</v>
      </c>
      <c r="S1093" t="str">
        <f>"9780814760192"</f>
        <v>9780814760192</v>
      </c>
      <c r="T1093">
        <v>879948896</v>
      </c>
    </row>
    <row r="1094" spans="1:20" x14ac:dyDescent="0.25">
      <c r="A1094">
        <v>778819</v>
      </c>
      <c r="B1094" t="s">
        <v>5347</v>
      </c>
      <c r="D1094" t="s">
        <v>22</v>
      </c>
      <c r="E1094" t="s">
        <v>22</v>
      </c>
      <c r="F1094">
        <v>2013</v>
      </c>
      <c r="G1094" t="s">
        <v>57</v>
      </c>
      <c r="H1094" t="s">
        <v>5348</v>
      </c>
      <c r="I1094" t="s">
        <v>5349</v>
      </c>
      <c r="J1094" t="s">
        <v>26</v>
      </c>
      <c r="K1094" t="s">
        <v>27</v>
      </c>
      <c r="L1094" t="b">
        <v>1</v>
      </c>
      <c r="M1094" t="s">
        <v>5350</v>
      </c>
      <c r="N1094" t="str">
        <f>"306.1"</f>
        <v>306.1</v>
      </c>
      <c r="P1094" t="b">
        <v>0</v>
      </c>
      <c r="Q1094" t="b">
        <v>0</v>
      </c>
      <c r="R1094" t="str">
        <f>"9789089645593"</f>
        <v>9789089645593</v>
      </c>
      <c r="S1094" t="str">
        <f>"9789048519552"</f>
        <v>9789048519552</v>
      </c>
      <c r="T1094">
        <v>875999551</v>
      </c>
    </row>
    <row r="1095" spans="1:20" x14ac:dyDescent="0.25">
      <c r="A1095">
        <v>771778</v>
      </c>
      <c r="B1095" t="s">
        <v>5351</v>
      </c>
      <c r="D1095" t="s">
        <v>22</v>
      </c>
      <c r="E1095" t="s">
        <v>22</v>
      </c>
      <c r="F1095">
        <v>2013</v>
      </c>
      <c r="G1095" t="s">
        <v>31</v>
      </c>
      <c r="H1095" t="s">
        <v>5352</v>
      </c>
      <c r="I1095" t="s">
        <v>5353</v>
      </c>
      <c r="J1095" t="s">
        <v>26</v>
      </c>
      <c r="K1095" t="s">
        <v>27</v>
      </c>
      <c r="L1095" t="b">
        <v>1</v>
      </c>
      <c r="M1095" t="s">
        <v>5354</v>
      </c>
      <c r="N1095" t="str">
        <f>"791.43"</f>
        <v>791.43</v>
      </c>
      <c r="O1095" t="s">
        <v>5355</v>
      </c>
      <c r="P1095" t="b">
        <v>0</v>
      </c>
      <c r="Q1095" t="b">
        <v>0</v>
      </c>
      <c r="R1095" t="str">
        <f>"9789089645159"</f>
        <v>9789089645159</v>
      </c>
      <c r="S1095" t="str">
        <f>"9789048518425"</f>
        <v>9789048518425</v>
      </c>
      <c r="T1095">
        <v>880878363</v>
      </c>
    </row>
    <row r="1096" spans="1:20" x14ac:dyDescent="0.25">
      <c r="A1096">
        <v>771419</v>
      </c>
      <c r="B1096" t="s">
        <v>5356</v>
      </c>
      <c r="C1096" t="s">
        <v>5357</v>
      </c>
      <c r="D1096" t="s">
        <v>22</v>
      </c>
      <c r="E1096" t="s">
        <v>22</v>
      </c>
      <c r="F1096">
        <v>2012</v>
      </c>
      <c r="G1096" t="s">
        <v>57</v>
      </c>
      <c r="H1096" t="s">
        <v>5358</v>
      </c>
      <c r="I1096" t="s">
        <v>5359</v>
      </c>
      <c r="J1096" t="s">
        <v>26</v>
      </c>
      <c r="K1096" t="s">
        <v>27</v>
      </c>
      <c r="L1096" t="b">
        <v>1</v>
      </c>
      <c r="M1096" t="s">
        <v>5360</v>
      </c>
      <c r="N1096" t="str">
        <f>"302.231"</f>
        <v>302.231</v>
      </c>
      <c r="O1096" t="s">
        <v>5361</v>
      </c>
      <c r="P1096" t="b">
        <v>0</v>
      </c>
      <c r="Q1096" t="b">
        <v>0</v>
      </c>
      <c r="R1096" t="str">
        <f>"9789089643544"</f>
        <v>9789089643544</v>
      </c>
      <c r="S1096" t="str">
        <f>"9789048514915"</f>
        <v>9789048514915</v>
      </c>
      <c r="T1096">
        <v>787844427</v>
      </c>
    </row>
    <row r="1097" spans="1:20" x14ac:dyDescent="0.25">
      <c r="A1097">
        <v>771329</v>
      </c>
      <c r="B1097" t="s">
        <v>5362</v>
      </c>
      <c r="C1097" t="s">
        <v>5363</v>
      </c>
      <c r="D1097" t="s">
        <v>1980</v>
      </c>
      <c r="E1097" t="s">
        <v>1980</v>
      </c>
      <c r="F1097">
        <v>2014</v>
      </c>
      <c r="G1097" t="s">
        <v>5364</v>
      </c>
      <c r="H1097" t="s">
        <v>5365</v>
      </c>
      <c r="I1097" t="s">
        <v>5366</v>
      </c>
      <c r="J1097" t="s">
        <v>26</v>
      </c>
      <c r="K1097" t="s">
        <v>86</v>
      </c>
      <c r="L1097" t="b">
        <v>1</v>
      </c>
      <c r="M1097" t="s">
        <v>5367</v>
      </c>
      <c r="N1097" t="str">
        <f>"658.8/12"</f>
        <v>658.8/12</v>
      </c>
      <c r="P1097" t="b">
        <v>0</v>
      </c>
      <c r="R1097" t="str">
        <f>"9780749471644"</f>
        <v>9780749471644</v>
      </c>
      <c r="S1097" t="str">
        <f>"9780749471651"</f>
        <v>9780749471651</v>
      </c>
      <c r="T1097">
        <v>879203158</v>
      </c>
    </row>
    <row r="1098" spans="1:20" x14ac:dyDescent="0.25">
      <c r="A1098">
        <v>766156</v>
      </c>
      <c r="B1098" t="s">
        <v>5368</v>
      </c>
      <c r="D1098" t="s">
        <v>22</v>
      </c>
      <c r="E1098" t="s">
        <v>22</v>
      </c>
      <c r="F1098">
        <v>2013</v>
      </c>
      <c r="G1098" t="s">
        <v>31</v>
      </c>
      <c r="H1098" t="s">
        <v>5369</v>
      </c>
      <c r="I1098" t="s">
        <v>5370</v>
      </c>
      <c r="J1098" t="s">
        <v>26</v>
      </c>
      <c r="K1098" t="s">
        <v>27</v>
      </c>
      <c r="L1098" t="b">
        <v>1</v>
      </c>
      <c r="M1098" t="s">
        <v>5371</v>
      </c>
      <c r="N1098" t="str">
        <f>"791.4301"</f>
        <v>791.4301</v>
      </c>
      <c r="O1098" t="s">
        <v>653</v>
      </c>
      <c r="P1098" t="b">
        <v>0</v>
      </c>
      <c r="Q1098" t="b">
        <v>0</v>
      </c>
      <c r="R1098" t="str">
        <f>"9789089642912"</f>
        <v>9789089642912</v>
      </c>
      <c r="S1098" t="str">
        <f>"9789048513833"</f>
        <v>9789048513833</v>
      </c>
      <c r="T1098">
        <v>879377176</v>
      </c>
    </row>
    <row r="1099" spans="1:20" x14ac:dyDescent="0.25">
      <c r="A1099">
        <v>763606</v>
      </c>
      <c r="B1099" t="s">
        <v>5372</v>
      </c>
      <c r="C1099" t="s">
        <v>5373</v>
      </c>
      <c r="D1099" t="s">
        <v>5374</v>
      </c>
      <c r="E1099" t="s">
        <v>5375</v>
      </c>
      <c r="F1099">
        <v>2008</v>
      </c>
      <c r="G1099" t="s">
        <v>57</v>
      </c>
      <c r="H1099" t="s">
        <v>5376</v>
      </c>
      <c r="I1099" t="s">
        <v>5377</v>
      </c>
      <c r="J1099" t="s">
        <v>26</v>
      </c>
      <c r="K1099" t="s">
        <v>27</v>
      </c>
      <c r="L1099" t="b">
        <v>1</v>
      </c>
      <c r="M1099" t="s">
        <v>5378</v>
      </c>
      <c r="N1099" t="str">
        <f>"363.728"</f>
        <v>363.728</v>
      </c>
      <c r="P1099" t="b">
        <v>0</v>
      </c>
      <c r="Q1099" t="b">
        <v>0</v>
      </c>
      <c r="R1099" t="str">
        <f>"9788179931530"</f>
        <v>9788179931530</v>
      </c>
      <c r="S1099" t="str">
        <f>"9788179935576"</f>
        <v>9788179935576</v>
      </c>
      <c r="T1099">
        <v>878406484</v>
      </c>
    </row>
    <row r="1100" spans="1:20" x14ac:dyDescent="0.25">
      <c r="A1100">
        <v>762414</v>
      </c>
      <c r="B1100" t="s">
        <v>5379</v>
      </c>
      <c r="C1100" t="s">
        <v>5380</v>
      </c>
      <c r="D1100" t="s">
        <v>123</v>
      </c>
      <c r="E1100" t="s">
        <v>219</v>
      </c>
      <c r="F1100">
        <v>2005</v>
      </c>
      <c r="G1100" t="s">
        <v>5381</v>
      </c>
      <c r="H1100" t="s">
        <v>5382</v>
      </c>
      <c r="I1100" t="s">
        <v>5383</v>
      </c>
      <c r="J1100" t="s">
        <v>26</v>
      </c>
      <c r="K1100" t="s">
        <v>48</v>
      </c>
      <c r="L1100" t="b">
        <v>1</v>
      </c>
      <c r="M1100" t="s">
        <v>5384</v>
      </c>
      <c r="N1100" t="str">
        <f>"294.3/36150195"</f>
        <v>294.3/36150195</v>
      </c>
      <c r="P1100" t="b">
        <v>0</v>
      </c>
      <c r="Q1100" t="b">
        <v>0</v>
      </c>
      <c r="R1100" t="str">
        <f>"9780861714957"</f>
        <v>9780861714957</v>
      </c>
      <c r="S1100" t="str">
        <f>"9780861717408"</f>
        <v>9780861717408</v>
      </c>
      <c r="T1100">
        <v>899046348</v>
      </c>
    </row>
    <row r="1101" spans="1:20" x14ac:dyDescent="0.25">
      <c r="A1101">
        <v>761147</v>
      </c>
      <c r="B1101" t="s">
        <v>5385</v>
      </c>
      <c r="D1101" t="s">
        <v>240</v>
      </c>
      <c r="E1101" t="s">
        <v>1625</v>
      </c>
      <c r="F1101">
        <v>2014</v>
      </c>
      <c r="G1101" t="s">
        <v>197</v>
      </c>
      <c r="H1101" t="s">
        <v>5386</v>
      </c>
      <c r="I1101" t="s">
        <v>5387</v>
      </c>
      <c r="J1101" t="s">
        <v>26</v>
      </c>
      <c r="K1101" t="s">
        <v>27</v>
      </c>
      <c r="L1101" t="b">
        <v>1</v>
      </c>
      <c r="M1101" t="s">
        <v>5388</v>
      </c>
      <c r="N1101" t="str">
        <f>"296.1"</f>
        <v>296.1</v>
      </c>
      <c r="O1101" t="s">
        <v>5389</v>
      </c>
      <c r="P1101" t="b">
        <v>0</v>
      </c>
      <c r="R1101" t="str">
        <f>"9781611686074"</f>
        <v>9781611686074</v>
      </c>
      <c r="S1101" t="str">
        <f>"9781611686098"</f>
        <v>9781611686098</v>
      </c>
      <c r="T1101">
        <v>894511257</v>
      </c>
    </row>
    <row r="1102" spans="1:20" x14ac:dyDescent="0.25">
      <c r="A1102">
        <v>761113</v>
      </c>
      <c r="B1102" t="s">
        <v>5390</v>
      </c>
      <c r="C1102" t="s">
        <v>5391</v>
      </c>
      <c r="D1102" t="s">
        <v>240</v>
      </c>
      <c r="E1102" t="s">
        <v>241</v>
      </c>
      <c r="F1102">
        <v>2014</v>
      </c>
      <c r="G1102" t="s">
        <v>5392</v>
      </c>
      <c r="H1102" t="s">
        <v>5393</v>
      </c>
      <c r="I1102" t="s">
        <v>5394</v>
      </c>
      <c r="J1102" t="s">
        <v>26</v>
      </c>
      <c r="K1102" t="s">
        <v>27</v>
      </c>
      <c r="L1102" t="b">
        <v>1</v>
      </c>
      <c r="M1102" t="s">
        <v>5395</v>
      </c>
      <c r="N1102" t="str">
        <f>"387.7/32409"</f>
        <v>387.7/32409</v>
      </c>
      <c r="O1102" t="s">
        <v>2352</v>
      </c>
      <c r="P1102" t="b">
        <v>0</v>
      </c>
      <c r="R1102" t="str">
        <f>"9781611685602"</f>
        <v>9781611685602</v>
      </c>
      <c r="S1102" t="str">
        <f>"9781611686975"</f>
        <v>9781611686975</v>
      </c>
      <c r="T1102">
        <v>893336527</v>
      </c>
    </row>
    <row r="1103" spans="1:20" x14ac:dyDescent="0.25">
      <c r="A1103">
        <v>761098</v>
      </c>
      <c r="B1103" t="s">
        <v>5396</v>
      </c>
      <c r="C1103" t="s">
        <v>5397</v>
      </c>
      <c r="D1103" t="s">
        <v>2347</v>
      </c>
      <c r="E1103" t="s">
        <v>2348</v>
      </c>
      <c r="F1103">
        <v>2014</v>
      </c>
      <c r="G1103" t="s">
        <v>5398</v>
      </c>
      <c r="H1103" t="s">
        <v>5399</v>
      </c>
      <c r="I1103" t="s">
        <v>5400</v>
      </c>
      <c r="J1103" t="s">
        <v>26</v>
      </c>
      <c r="K1103" t="s">
        <v>27</v>
      </c>
      <c r="L1103" t="b">
        <v>1</v>
      </c>
      <c r="M1103" t="s">
        <v>5401</v>
      </c>
      <c r="N1103" t="str">
        <f>"365/.430973"</f>
        <v>365/.430973</v>
      </c>
      <c r="O1103" t="s">
        <v>5402</v>
      </c>
      <c r="P1103" t="b">
        <v>0</v>
      </c>
      <c r="R1103" t="str">
        <f>"9781555538415"</f>
        <v>9781555538415</v>
      </c>
      <c r="S1103" t="str">
        <f>"9781555538439"</f>
        <v>9781555538439</v>
      </c>
      <c r="T1103">
        <v>881610926</v>
      </c>
    </row>
    <row r="1104" spans="1:20" x14ac:dyDescent="0.25">
      <c r="A1104">
        <v>761089</v>
      </c>
      <c r="B1104" t="s">
        <v>5403</v>
      </c>
      <c r="D1104" t="s">
        <v>2347</v>
      </c>
      <c r="E1104" t="s">
        <v>2348</v>
      </c>
      <c r="F1104">
        <v>2014</v>
      </c>
      <c r="G1104" t="s">
        <v>3671</v>
      </c>
      <c r="H1104" t="s">
        <v>5404</v>
      </c>
      <c r="I1104" t="s">
        <v>5405</v>
      </c>
      <c r="J1104" t="s">
        <v>26</v>
      </c>
      <c r="K1104" t="s">
        <v>27</v>
      </c>
      <c r="L1104" t="b">
        <v>1</v>
      </c>
      <c r="M1104" t="s">
        <v>5406</v>
      </c>
      <c r="N1104" t="str">
        <f>"781.65"</f>
        <v>781.65</v>
      </c>
      <c r="P1104" t="b">
        <v>0</v>
      </c>
      <c r="R1104" t="str">
        <f>"9781555537272"</f>
        <v>9781555537272</v>
      </c>
      <c r="S1104" t="str">
        <f>"9781555538392"</f>
        <v>9781555538392</v>
      </c>
      <c r="T1104">
        <v>881162564</v>
      </c>
    </row>
    <row r="1105" spans="1:20" x14ac:dyDescent="0.25">
      <c r="A1105">
        <v>761087</v>
      </c>
      <c r="B1105" t="s">
        <v>5407</v>
      </c>
      <c r="C1105" t="s">
        <v>5408</v>
      </c>
      <c r="D1105" t="s">
        <v>2347</v>
      </c>
      <c r="E1105" t="s">
        <v>2348</v>
      </c>
      <c r="F1105">
        <v>2014</v>
      </c>
      <c r="G1105" t="s">
        <v>5409</v>
      </c>
      <c r="H1105" t="s">
        <v>5410</v>
      </c>
      <c r="I1105" t="s">
        <v>5411</v>
      </c>
      <c r="J1105" t="s">
        <v>26</v>
      </c>
      <c r="K1105" t="s">
        <v>27</v>
      </c>
      <c r="L1105" t="b">
        <v>1</v>
      </c>
      <c r="M1105" t="s">
        <v>5412</v>
      </c>
      <c r="N1105" t="str">
        <f>"796.0922;B"</f>
        <v>796.0922;B</v>
      </c>
      <c r="O1105" t="s">
        <v>2352</v>
      </c>
      <c r="P1105" t="b">
        <v>0</v>
      </c>
      <c r="R1105" t="str">
        <f>"9781555537906"</f>
        <v>9781555537906</v>
      </c>
      <c r="S1105" t="str">
        <f>"9781555538408"</f>
        <v>9781555538408</v>
      </c>
      <c r="T1105">
        <v>879352431</v>
      </c>
    </row>
    <row r="1106" spans="1:20" x14ac:dyDescent="0.25">
      <c r="A1106">
        <v>759814</v>
      </c>
      <c r="B1106" t="s">
        <v>5413</v>
      </c>
      <c r="D1106" t="s">
        <v>5060</v>
      </c>
      <c r="E1106" t="s">
        <v>5060</v>
      </c>
      <c r="F1106">
        <v>2014</v>
      </c>
      <c r="G1106" t="s">
        <v>3721</v>
      </c>
      <c r="H1106" t="s">
        <v>5414</v>
      </c>
      <c r="I1106" t="s">
        <v>5415</v>
      </c>
      <c r="J1106" t="s">
        <v>26</v>
      </c>
      <c r="K1106" t="s">
        <v>27</v>
      </c>
      <c r="L1106" t="b">
        <v>1</v>
      </c>
      <c r="M1106" t="s">
        <v>5063</v>
      </c>
      <c r="N1106" t="str">
        <f>"362.5"</f>
        <v>362.5</v>
      </c>
      <c r="O1106" t="s">
        <v>5064</v>
      </c>
      <c r="P1106" t="b">
        <v>0</v>
      </c>
      <c r="Q1106" t="b">
        <v>0</v>
      </c>
      <c r="R1106" t="str">
        <f>"9781922084422"</f>
        <v>9781922084422</v>
      </c>
      <c r="S1106" t="str">
        <f>"9781922084439"</f>
        <v>9781922084439</v>
      </c>
      <c r="T1106">
        <v>870131816</v>
      </c>
    </row>
    <row r="1107" spans="1:20" x14ac:dyDescent="0.25">
      <c r="A1107">
        <v>759786</v>
      </c>
      <c r="B1107" t="s">
        <v>5416</v>
      </c>
      <c r="C1107" t="s">
        <v>5417</v>
      </c>
      <c r="D1107" t="s">
        <v>5418</v>
      </c>
      <c r="E1107" t="s">
        <v>5419</v>
      </c>
      <c r="F1107">
        <v>2014</v>
      </c>
      <c r="G1107" t="s">
        <v>5420</v>
      </c>
      <c r="H1107" t="s">
        <v>5421</v>
      </c>
      <c r="I1107" t="s">
        <v>5422</v>
      </c>
      <c r="J1107" t="s">
        <v>26</v>
      </c>
      <c r="K1107" t="s">
        <v>48</v>
      </c>
      <c r="L1107" t="b">
        <v>1</v>
      </c>
      <c r="M1107" t="s">
        <v>5423</v>
      </c>
      <c r="N1107" t="str">
        <f>"338.7630994"</f>
        <v>338.7630994</v>
      </c>
      <c r="P1107" t="b">
        <v>0</v>
      </c>
      <c r="R1107" t="str">
        <f>"9781922142436"</f>
        <v>9781922142436</v>
      </c>
      <c r="S1107" t="str">
        <f>"9781922142450"</f>
        <v>9781922142450</v>
      </c>
      <c r="T1107">
        <v>863984459</v>
      </c>
    </row>
    <row r="1108" spans="1:20" x14ac:dyDescent="0.25">
      <c r="A1108">
        <v>757299</v>
      </c>
      <c r="B1108" t="s">
        <v>5424</v>
      </c>
      <c r="C1108" t="s">
        <v>5425</v>
      </c>
      <c r="D1108" t="s">
        <v>1364</v>
      </c>
      <c r="E1108" t="s">
        <v>1365</v>
      </c>
      <c r="F1108">
        <v>2010</v>
      </c>
      <c r="G1108" t="s">
        <v>5014</v>
      </c>
      <c r="H1108" t="s">
        <v>5426</v>
      </c>
      <c r="I1108" t="s">
        <v>5427</v>
      </c>
      <c r="J1108" t="s">
        <v>26</v>
      </c>
      <c r="K1108" t="s">
        <v>27</v>
      </c>
      <c r="L1108" t="b">
        <v>1</v>
      </c>
      <c r="M1108" t="s">
        <v>5428</v>
      </c>
      <c r="N1108" t="str">
        <f>"620.001/51"</f>
        <v>620.001/51</v>
      </c>
      <c r="O1108" t="s">
        <v>5429</v>
      </c>
      <c r="P1108" t="b">
        <v>0</v>
      </c>
      <c r="R1108" t="str">
        <f>"9783486590425"</f>
        <v>9783486590425</v>
      </c>
      <c r="S1108" t="str">
        <f>"9783486598483"</f>
        <v>9783486598483</v>
      </c>
      <c r="T1108">
        <v>884583317</v>
      </c>
    </row>
    <row r="1109" spans="1:20" x14ac:dyDescent="0.25">
      <c r="A1109">
        <v>754798</v>
      </c>
      <c r="B1109" t="s">
        <v>5430</v>
      </c>
      <c r="D1109" t="s">
        <v>255</v>
      </c>
      <c r="E1109" t="s">
        <v>256</v>
      </c>
      <c r="F1109">
        <v>2014</v>
      </c>
      <c r="G1109" t="s">
        <v>2321</v>
      </c>
      <c r="H1109" t="s">
        <v>5431</v>
      </c>
      <c r="I1109" t="s">
        <v>5432</v>
      </c>
      <c r="J1109" t="s">
        <v>26</v>
      </c>
      <c r="K1109" t="s">
        <v>86</v>
      </c>
      <c r="L1109" t="b">
        <v>1</v>
      </c>
      <c r="M1109" t="s">
        <v>5433</v>
      </c>
      <c r="N1109" t="str">
        <f>"499.4"</f>
        <v>499.4</v>
      </c>
      <c r="P1109" t="b">
        <v>0</v>
      </c>
      <c r="S1109" t="str">
        <f>"9781775587330"</f>
        <v>9781775587330</v>
      </c>
      <c r="T1109">
        <v>877157271</v>
      </c>
    </row>
    <row r="1110" spans="1:20" x14ac:dyDescent="0.25">
      <c r="A1110">
        <v>754610</v>
      </c>
      <c r="B1110" t="s">
        <v>5434</v>
      </c>
      <c r="C1110" t="s">
        <v>5435</v>
      </c>
      <c r="D1110" t="s">
        <v>487</v>
      </c>
      <c r="E1110" t="s">
        <v>488</v>
      </c>
      <c r="F1110">
        <v>2014</v>
      </c>
      <c r="G1110" t="s">
        <v>501</v>
      </c>
      <c r="H1110" t="s">
        <v>5436</v>
      </c>
      <c r="I1110" t="s">
        <v>5437</v>
      </c>
      <c r="J1110" t="s">
        <v>26</v>
      </c>
      <c r="K1110" t="s">
        <v>27</v>
      </c>
      <c r="L1110" t="b">
        <v>1</v>
      </c>
      <c r="M1110" t="s">
        <v>5438</v>
      </c>
      <c r="N1110" t="str">
        <f>"861.609"</f>
        <v>861.609</v>
      </c>
      <c r="O1110" t="s">
        <v>5439</v>
      </c>
      <c r="P1110" t="b">
        <v>0</v>
      </c>
      <c r="Q1110" t="b">
        <v>0</v>
      </c>
      <c r="R1110" t="str">
        <f>"9781781880005"</f>
        <v>9781781880005</v>
      </c>
      <c r="S1110" t="str">
        <f>"9781781881347"</f>
        <v>9781781881347</v>
      </c>
      <c r="T1110">
        <v>877832599</v>
      </c>
    </row>
    <row r="1111" spans="1:20" x14ac:dyDescent="0.25">
      <c r="A1111">
        <v>754609</v>
      </c>
      <c r="B1111" t="s">
        <v>5440</v>
      </c>
      <c r="D1111" t="s">
        <v>487</v>
      </c>
      <c r="E1111" t="s">
        <v>488</v>
      </c>
      <c r="F1111">
        <v>2014</v>
      </c>
      <c r="G1111" t="s">
        <v>1026</v>
      </c>
      <c r="H1111" t="s">
        <v>5441</v>
      </c>
      <c r="I1111" t="s">
        <v>5442</v>
      </c>
      <c r="J1111" t="s">
        <v>26</v>
      </c>
      <c r="K1111" t="s">
        <v>27</v>
      </c>
      <c r="L1111" t="b">
        <v>1</v>
      </c>
      <c r="M1111" t="s">
        <v>5443</v>
      </c>
      <c r="N1111" t="str">
        <f>"823.6"</f>
        <v>823.6</v>
      </c>
      <c r="O1111" t="s">
        <v>5439</v>
      </c>
      <c r="P1111" t="b">
        <v>0</v>
      </c>
      <c r="Q1111" t="b">
        <v>0</v>
      </c>
      <c r="R1111" t="str">
        <f>"9781781880166"</f>
        <v>9781781880166</v>
      </c>
      <c r="S1111" t="str">
        <f>"9781781881330"</f>
        <v>9781781881330</v>
      </c>
      <c r="T1111">
        <v>877144940</v>
      </c>
    </row>
    <row r="1112" spans="1:20" x14ac:dyDescent="0.25">
      <c r="A1112">
        <v>754608</v>
      </c>
      <c r="B1112" t="s">
        <v>5444</v>
      </c>
      <c r="D1112" t="s">
        <v>487</v>
      </c>
      <c r="E1112" t="s">
        <v>488</v>
      </c>
      <c r="F1112">
        <v>2013</v>
      </c>
      <c r="G1112" t="s">
        <v>5445</v>
      </c>
      <c r="H1112" t="s">
        <v>5446</v>
      </c>
      <c r="I1112" t="s">
        <v>5447</v>
      </c>
      <c r="J1112" t="s">
        <v>26</v>
      </c>
      <c r="K1112" t="s">
        <v>27</v>
      </c>
      <c r="L1112" t="b">
        <v>1</v>
      </c>
      <c r="M1112" t="s">
        <v>5448</v>
      </c>
      <c r="N1112" t="str">
        <f>"871.01"</f>
        <v>871.01</v>
      </c>
      <c r="O1112" t="s">
        <v>5444</v>
      </c>
      <c r="P1112" t="b">
        <v>0</v>
      </c>
      <c r="Q1112" t="b">
        <v>0</v>
      </c>
      <c r="R1112" t="str">
        <f>"9780947623920"</f>
        <v>9780947623920</v>
      </c>
      <c r="S1112" t="str">
        <f>"9781781881491"</f>
        <v>9781781881491</v>
      </c>
      <c r="T1112">
        <v>877136332</v>
      </c>
    </row>
    <row r="1113" spans="1:20" x14ac:dyDescent="0.25">
      <c r="A1113">
        <v>754607</v>
      </c>
      <c r="B1113" t="s">
        <v>5449</v>
      </c>
      <c r="D1113" t="s">
        <v>487</v>
      </c>
      <c r="E1113" t="s">
        <v>488</v>
      </c>
      <c r="F1113">
        <v>2013</v>
      </c>
      <c r="G1113" t="s">
        <v>489</v>
      </c>
      <c r="H1113" t="s">
        <v>5450</v>
      </c>
      <c r="I1113" t="s">
        <v>5451</v>
      </c>
      <c r="J1113" t="s">
        <v>26</v>
      </c>
      <c r="K1113" t="s">
        <v>27</v>
      </c>
      <c r="L1113" t="b">
        <v>1</v>
      </c>
      <c r="M1113" t="s">
        <v>5452</v>
      </c>
      <c r="N1113" t="str">
        <f>"862/.2"</f>
        <v>862/.2</v>
      </c>
      <c r="O1113" t="s">
        <v>498</v>
      </c>
      <c r="P1113" t="b">
        <v>1</v>
      </c>
      <c r="Q1113" t="b">
        <v>0</v>
      </c>
      <c r="R1113" t="str">
        <f>"9781781880401"</f>
        <v>9781781880401</v>
      </c>
      <c r="S1113" t="str">
        <f>"9781781881484"</f>
        <v>9781781881484</v>
      </c>
      <c r="T1113">
        <v>877171071</v>
      </c>
    </row>
    <row r="1114" spans="1:20" x14ac:dyDescent="0.25">
      <c r="A1114">
        <v>754606</v>
      </c>
      <c r="B1114" t="s">
        <v>5453</v>
      </c>
      <c r="D1114" t="s">
        <v>487</v>
      </c>
      <c r="E1114" t="s">
        <v>488</v>
      </c>
      <c r="F1114">
        <v>2013</v>
      </c>
      <c r="G1114" t="s">
        <v>2203</v>
      </c>
      <c r="H1114" t="s">
        <v>5454</v>
      </c>
      <c r="I1114" t="s">
        <v>5455</v>
      </c>
      <c r="J1114" t="s">
        <v>26</v>
      </c>
      <c r="K1114" t="s">
        <v>27</v>
      </c>
      <c r="L1114" t="b">
        <v>1</v>
      </c>
      <c r="M1114" t="s">
        <v>5456</v>
      </c>
      <c r="N1114" t="str">
        <f>"833.8"</f>
        <v>833.8</v>
      </c>
      <c r="O1114" t="s">
        <v>5457</v>
      </c>
      <c r="P1114" t="b">
        <v>1</v>
      </c>
      <c r="Q1114" t="b">
        <v>0</v>
      </c>
      <c r="R1114" t="str">
        <f>"9781781880364"</f>
        <v>9781781880364</v>
      </c>
      <c r="S1114" t="str">
        <f>"9781781881460"</f>
        <v>9781781881460</v>
      </c>
      <c r="T1114">
        <v>877144469</v>
      </c>
    </row>
    <row r="1115" spans="1:20" x14ac:dyDescent="0.25">
      <c r="A1115">
        <v>754605</v>
      </c>
      <c r="B1115" t="s">
        <v>5458</v>
      </c>
      <c r="D1115" t="s">
        <v>487</v>
      </c>
      <c r="E1115" t="s">
        <v>488</v>
      </c>
      <c r="F1115">
        <v>2013</v>
      </c>
      <c r="G1115" t="s">
        <v>5459</v>
      </c>
      <c r="H1115" t="s">
        <v>5460</v>
      </c>
      <c r="I1115" t="s">
        <v>5461</v>
      </c>
      <c r="J1115" t="s">
        <v>26</v>
      </c>
      <c r="K1115" t="s">
        <v>27</v>
      </c>
      <c r="L1115" t="b">
        <v>1</v>
      </c>
      <c r="M1115" t="s">
        <v>5462</v>
      </c>
      <c r="N1115" t="str">
        <f>"428.02"</f>
        <v>428.02</v>
      </c>
      <c r="O1115" t="s">
        <v>498</v>
      </c>
      <c r="P1115" t="b">
        <v>0</v>
      </c>
      <c r="Q1115" t="b">
        <v>0</v>
      </c>
      <c r="R1115" t="str">
        <f>"9781781880418"</f>
        <v>9781781880418</v>
      </c>
      <c r="S1115" t="str">
        <f>"9781781881446"</f>
        <v>9781781881446</v>
      </c>
      <c r="T1115">
        <v>877152308</v>
      </c>
    </row>
    <row r="1116" spans="1:20" x14ac:dyDescent="0.25">
      <c r="A1116">
        <v>754603</v>
      </c>
      <c r="B1116" t="s">
        <v>5463</v>
      </c>
      <c r="C1116" t="s">
        <v>5464</v>
      </c>
      <c r="D1116" t="s">
        <v>487</v>
      </c>
      <c r="E1116" t="s">
        <v>488</v>
      </c>
      <c r="F1116">
        <v>2013</v>
      </c>
      <c r="G1116" t="s">
        <v>5465</v>
      </c>
      <c r="H1116" t="s">
        <v>5466</v>
      </c>
      <c r="J1116" t="s">
        <v>26</v>
      </c>
      <c r="K1116" t="s">
        <v>27</v>
      </c>
      <c r="L1116" t="b">
        <v>1</v>
      </c>
      <c r="M1116" t="s">
        <v>5467</v>
      </c>
      <c r="N1116" t="str">
        <f>"891.7444"</f>
        <v>891.7444</v>
      </c>
      <c r="O1116" t="s">
        <v>5261</v>
      </c>
      <c r="P1116" t="b">
        <v>0</v>
      </c>
      <c r="Q1116" t="b">
        <v>0</v>
      </c>
      <c r="R1116" t="str">
        <f>"9781907322525"</f>
        <v>9781907322525</v>
      </c>
      <c r="S1116" t="str">
        <f>"9781781881422"</f>
        <v>9781781881422</v>
      </c>
      <c r="T1116">
        <v>877141896</v>
      </c>
    </row>
    <row r="1117" spans="1:20" x14ac:dyDescent="0.25">
      <c r="A1117">
        <v>754602</v>
      </c>
      <c r="B1117" t="s">
        <v>5468</v>
      </c>
      <c r="D1117" t="s">
        <v>487</v>
      </c>
      <c r="E1117" t="s">
        <v>488</v>
      </c>
      <c r="F1117">
        <v>2013</v>
      </c>
      <c r="G1117" t="s">
        <v>5469</v>
      </c>
      <c r="H1117" t="s">
        <v>5470</v>
      </c>
      <c r="I1117" t="s">
        <v>5471</v>
      </c>
      <c r="J1117" t="s">
        <v>26</v>
      </c>
      <c r="K1117" t="s">
        <v>27</v>
      </c>
      <c r="L1117" t="b">
        <v>1</v>
      </c>
      <c r="M1117" t="s">
        <v>5472</v>
      </c>
      <c r="N1117" t="str">
        <f>"860.9987"</f>
        <v>860.9987</v>
      </c>
      <c r="P1117" t="b">
        <v>0</v>
      </c>
      <c r="Q1117" t="b">
        <v>0</v>
      </c>
      <c r="R1117" t="str">
        <f>"9781907322792"</f>
        <v>9781907322792</v>
      </c>
      <c r="S1117" t="str">
        <f>"9781781881415"</f>
        <v>9781781881415</v>
      </c>
      <c r="T1117">
        <v>877154408</v>
      </c>
    </row>
    <row r="1118" spans="1:20" x14ac:dyDescent="0.25">
      <c r="A1118">
        <v>754601</v>
      </c>
      <c r="B1118" t="s">
        <v>5473</v>
      </c>
      <c r="D1118" t="s">
        <v>487</v>
      </c>
      <c r="E1118" t="s">
        <v>488</v>
      </c>
      <c r="F1118">
        <v>2013</v>
      </c>
      <c r="G1118" t="s">
        <v>4483</v>
      </c>
      <c r="H1118" t="s">
        <v>5474</v>
      </c>
      <c r="I1118" t="s">
        <v>5475</v>
      </c>
      <c r="J1118" t="s">
        <v>26</v>
      </c>
      <c r="K1118" t="s">
        <v>27</v>
      </c>
      <c r="L1118" t="b">
        <v>1</v>
      </c>
      <c r="M1118" t="s">
        <v>5476</v>
      </c>
      <c r="N1118" t="str">
        <f>"194"</f>
        <v>194</v>
      </c>
      <c r="O1118" t="s">
        <v>5261</v>
      </c>
      <c r="P1118" t="b">
        <v>0</v>
      </c>
      <c r="Q1118" t="b">
        <v>0</v>
      </c>
      <c r="R1118" t="str">
        <f>"9781907322839"</f>
        <v>9781907322839</v>
      </c>
      <c r="S1118" t="str">
        <f>"9781781881408"</f>
        <v>9781781881408</v>
      </c>
      <c r="T1118">
        <v>876592921</v>
      </c>
    </row>
    <row r="1119" spans="1:20" x14ac:dyDescent="0.25">
      <c r="A1119">
        <v>754600</v>
      </c>
      <c r="B1119" t="s">
        <v>5477</v>
      </c>
      <c r="C1119" t="s">
        <v>5478</v>
      </c>
      <c r="D1119" t="s">
        <v>487</v>
      </c>
      <c r="E1119" t="s">
        <v>488</v>
      </c>
      <c r="F1119">
        <v>2013</v>
      </c>
      <c r="G1119" t="s">
        <v>489</v>
      </c>
      <c r="H1119" t="s">
        <v>5479</v>
      </c>
      <c r="I1119" t="s">
        <v>2887</v>
      </c>
      <c r="J1119" t="s">
        <v>26</v>
      </c>
      <c r="K1119" t="s">
        <v>27</v>
      </c>
      <c r="L1119" t="b">
        <v>1</v>
      </c>
      <c r="M1119" t="s">
        <v>5480</v>
      </c>
      <c r="N1119" t="str">
        <f>"862.3"</f>
        <v>862.3</v>
      </c>
      <c r="O1119" t="s">
        <v>5261</v>
      </c>
      <c r="P1119" t="b">
        <v>1</v>
      </c>
      <c r="Q1119" t="b">
        <v>0</v>
      </c>
      <c r="R1119" t="str">
        <f>"9781781880029"</f>
        <v>9781781880029</v>
      </c>
      <c r="S1119" t="str">
        <f>"9781781881392"</f>
        <v>9781781881392</v>
      </c>
      <c r="T1119">
        <v>876592723</v>
      </c>
    </row>
    <row r="1120" spans="1:20" x14ac:dyDescent="0.25">
      <c r="A1120">
        <v>754599</v>
      </c>
      <c r="B1120" t="s">
        <v>5481</v>
      </c>
      <c r="C1120" t="s">
        <v>5482</v>
      </c>
      <c r="D1120" t="s">
        <v>487</v>
      </c>
      <c r="E1120" t="s">
        <v>488</v>
      </c>
      <c r="F1120">
        <v>2013</v>
      </c>
      <c r="G1120" t="s">
        <v>5220</v>
      </c>
      <c r="H1120" t="s">
        <v>5483</v>
      </c>
      <c r="I1120" t="s">
        <v>5484</v>
      </c>
      <c r="J1120" t="s">
        <v>26</v>
      </c>
      <c r="K1120" t="s">
        <v>27</v>
      </c>
      <c r="L1120" t="b">
        <v>1</v>
      </c>
      <c r="M1120" t="s">
        <v>5485</v>
      </c>
      <c r="N1120" t="str">
        <f>"833.914"</f>
        <v>833.914</v>
      </c>
      <c r="O1120" t="s">
        <v>5486</v>
      </c>
      <c r="P1120" t="b">
        <v>0</v>
      </c>
      <c r="Q1120" t="b">
        <v>0</v>
      </c>
      <c r="R1120" t="str">
        <f>"9781781880265"</f>
        <v>9781781880265</v>
      </c>
      <c r="S1120" t="str">
        <f>"9781781881385"</f>
        <v>9781781881385</v>
      </c>
      <c r="T1120">
        <v>877176767</v>
      </c>
    </row>
    <row r="1121" spans="1:20" x14ac:dyDescent="0.25">
      <c r="A1121">
        <v>754598</v>
      </c>
      <c r="B1121" t="s">
        <v>5487</v>
      </c>
      <c r="C1121" t="s">
        <v>5488</v>
      </c>
      <c r="D1121" t="s">
        <v>487</v>
      </c>
      <c r="E1121" t="s">
        <v>488</v>
      </c>
      <c r="F1121">
        <v>2013</v>
      </c>
      <c r="G1121" t="s">
        <v>501</v>
      </c>
      <c r="H1121" t="s">
        <v>5489</v>
      </c>
      <c r="I1121" t="s">
        <v>5490</v>
      </c>
      <c r="J1121" t="s">
        <v>26</v>
      </c>
      <c r="K1121" t="s">
        <v>27</v>
      </c>
      <c r="L1121" t="b">
        <v>1</v>
      </c>
      <c r="M1121" t="s">
        <v>5491</v>
      </c>
      <c r="N1121" t="str">
        <f>"861.04409"</f>
        <v>861.04409</v>
      </c>
      <c r="O1121" t="s">
        <v>5492</v>
      </c>
      <c r="P1121" t="b">
        <v>0</v>
      </c>
      <c r="Q1121" t="b">
        <v>0</v>
      </c>
      <c r="R1121" t="str">
        <f>"9781907322914"</f>
        <v>9781907322914</v>
      </c>
      <c r="S1121" t="str">
        <f>"9781781881378"</f>
        <v>9781781881378</v>
      </c>
      <c r="T1121">
        <v>875923255</v>
      </c>
    </row>
    <row r="1122" spans="1:20" x14ac:dyDescent="0.25">
      <c r="A1122">
        <v>754032</v>
      </c>
      <c r="B1122" t="s">
        <v>5493</v>
      </c>
      <c r="D1122" t="s">
        <v>1364</v>
      </c>
      <c r="E1122" t="s">
        <v>5494</v>
      </c>
      <c r="F1122">
        <v>2013</v>
      </c>
      <c r="G1122" t="s">
        <v>197</v>
      </c>
      <c r="H1122" t="s">
        <v>5495</v>
      </c>
      <c r="I1122" t="s">
        <v>5496</v>
      </c>
      <c r="J1122" t="s">
        <v>26</v>
      </c>
      <c r="K1122" t="s">
        <v>27</v>
      </c>
      <c r="L1122" t="b">
        <v>1</v>
      </c>
      <c r="M1122" t="s">
        <v>5497</v>
      </c>
      <c r="N1122" t="str">
        <f>"809"</f>
        <v>809</v>
      </c>
      <c r="O1122" t="s">
        <v>5498</v>
      </c>
      <c r="P1122" t="b">
        <v>0</v>
      </c>
      <c r="R1122" t="str">
        <f>"9783050062716"</f>
        <v>9783050062716</v>
      </c>
      <c r="S1122" t="str">
        <f>"9783050064956"</f>
        <v>9783050064956</v>
      </c>
      <c r="T1122">
        <v>874319909</v>
      </c>
    </row>
    <row r="1123" spans="1:20" x14ac:dyDescent="0.25">
      <c r="A1123">
        <v>753407</v>
      </c>
      <c r="B1123" t="s">
        <v>5499</v>
      </c>
      <c r="C1123" t="s">
        <v>5500</v>
      </c>
      <c r="D1123" t="s">
        <v>5501</v>
      </c>
      <c r="E1123" t="s">
        <v>5502</v>
      </c>
      <c r="F1123">
        <v>2012</v>
      </c>
      <c r="G1123" t="s">
        <v>5503</v>
      </c>
      <c r="H1123" t="s">
        <v>5504</v>
      </c>
      <c r="I1123" t="s">
        <v>5505</v>
      </c>
      <c r="J1123" t="s">
        <v>26</v>
      </c>
      <c r="K1123" t="s">
        <v>86</v>
      </c>
      <c r="L1123" t="b">
        <v>1</v>
      </c>
      <c r="M1123" t="s">
        <v>5506</v>
      </c>
      <c r="N1123" t="str">
        <f>"025.17/14"</f>
        <v>025.17/14</v>
      </c>
      <c r="O1123" t="s">
        <v>5507</v>
      </c>
      <c r="P1123" t="b">
        <v>0</v>
      </c>
      <c r="R1123" t="str">
        <f>"9780759121690"</f>
        <v>9780759121690</v>
      </c>
      <c r="S1123" t="str">
        <f>"9780759121706"</f>
        <v>9780759121706</v>
      </c>
      <c r="T1123">
        <v>875894777</v>
      </c>
    </row>
    <row r="1124" spans="1:20" x14ac:dyDescent="0.25">
      <c r="A1124">
        <v>752972</v>
      </c>
      <c r="B1124" t="s">
        <v>5508</v>
      </c>
      <c r="D1124" t="s">
        <v>203</v>
      </c>
      <c r="E1124" t="s">
        <v>1109</v>
      </c>
      <c r="F1124">
        <v>2012</v>
      </c>
      <c r="G1124" t="s">
        <v>1110</v>
      </c>
      <c r="H1124" t="s">
        <v>5509</v>
      </c>
      <c r="I1124" t="s">
        <v>5510</v>
      </c>
      <c r="J1124" t="s">
        <v>26</v>
      </c>
      <c r="K1124" t="s">
        <v>86</v>
      </c>
      <c r="L1124" t="b">
        <v>1</v>
      </c>
      <c r="M1124" t="s">
        <v>5511</v>
      </c>
      <c r="N1124" t="str">
        <f>"616.002461689"</f>
        <v>616.002461689</v>
      </c>
      <c r="P1124" t="b">
        <v>0</v>
      </c>
      <c r="R1124" t="str">
        <f>"9781908020406"</f>
        <v>9781908020406</v>
      </c>
      <c r="S1124" t="str">
        <f>"9781908020888"</f>
        <v>9781908020888</v>
      </c>
      <c r="T1124">
        <v>875895474</v>
      </c>
    </row>
    <row r="1125" spans="1:20" x14ac:dyDescent="0.25">
      <c r="A1125">
        <v>752908</v>
      </c>
      <c r="B1125" t="s">
        <v>5512</v>
      </c>
      <c r="D1125" t="s">
        <v>203</v>
      </c>
      <c r="E1125" t="s">
        <v>1109</v>
      </c>
      <c r="F1125">
        <v>2014</v>
      </c>
      <c r="G1125" t="s">
        <v>2000</v>
      </c>
      <c r="H1125" t="s">
        <v>5513</v>
      </c>
      <c r="I1125" t="s">
        <v>5514</v>
      </c>
      <c r="J1125" t="s">
        <v>26</v>
      </c>
      <c r="K1125" t="s">
        <v>86</v>
      </c>
      <c r="L1125" t="b">
        <v>1</v>
      </c>
      <c r="M1125" t="s">
        <v>5515</v>
      </c>
      <c r="N1125" t="str">
        <f>"618.9289"</f>
        <v>618.9289</v>
      </c>
      <c r="P1125" t="b">
        <v>0</v>
      </c>
      <c r="R1125" t="str">
        <f>"9781909726178"</f>
        <v>9781909726178</v>
      </c>
      <c r="S1125" t="str">
        <f>"9781909726192"</f>
        <v>9781909726192</v>
      </c>
      <c r="T1125">
        <v>875895063</v>
      </c>
    </row>
    <row r="1126" spans="1:20" x14ac:dyDescent="0.25">
      <c r="A1126">
        <v>750579</v>
      </c>
      <c r="B1126" t="s">
        <v>5516</v>
      </c>
      <c r="C1126" t="s">
        <v>5517</v>
      </c>
      <c r="D1126" t="s">
        <v>5518</v>
      </c>
      <c r="E1126" t="s">
        <v>5519</v>
      </c>
      <c r="F1126">
        <v>2010</v>
      </c>
      <c r="G1126" t="s">
        <v>5520</v>
      </c>
      <c r="H1126" t="s">
        <v>5521</v>
      </c>
      <c r="I1126" t="s">
        <v>5522</v>
      </c>
      <c r="J1126" t="s">
        <v>26</v>
      </c>
      <c r="K1126" t="s">
        <v>27</v>
      </c>
      <c r="L1126" t="b">
        <v>1</v>
      </c>
      <c r="M1126" t="s">
        <v>5523</v>
      </c>
      <c r="N1126" t="str">
        <f>"791.45/70951"</f>
        <v>791.45/70951</v>
      </c>
      <c r="O1126" t="s">
        <v>2352</v>
      </c>
      <c r="P1126" t="b">
        <v>0</v>
      </c>
      <c r="Q1126" t="b">
        <v>0</v>
      </c>
      <c r="R1126" t="str">
        <f>"9780824834173"</f>
        <v>9780824834173</v>
      </c>
      <c r="S1126" t="str">
        <f>"9780824860660"</f>
        <v>9780824860660</v>
      </c>
      <c r="T1126">
        <v>794925350</v>
      </c>
    </row>
    <row r="1127" spans="1:20" x14ac:dyDescent="0.25">
      <c r="A1127">
        <v>746814</v>
      </c>
      <c r="B1127" t="s">
        <v>5524</v>
      </c>
      <c r="C1127" t="s">
        <v>5525</v>
      </c>
      <c r="D1127" t="s">
        <v>487</v>
      </c>
      <c r="E1127" t="s">
        <v>488</v>
      </c>
      <c r="F1127">
        <v>2012</v>
      </c>
      <c r="G1127" t="s">
        <v>5220</v>
      </c>
      <c r="H1127" t="s">
        <v>5526</v>
      </c>
      <c r="I1127" t="s">
        <v>5527</v>
      </c>
      <c r="J1127" t="s">
        <v>26</v>
      </c>
      <c r="K1127" t="s">
        <v>27</v>
      </c>
      <c r="L1127" t="b">
        <v>1</v>
      </c>
      <c r="M1127" t="s">
        <v>5528</v>
      </c>
      <c r="N1127" t="str">
        <f>"838.91209"</f>
        <v>838.91209</v>
      </c>
      <c r="O1127" t="s">
        <v>5529</v>
      </c>
      <c r="P1127" t="b">
        <v>0</v>
      </c>
      <c r="Q1127" t="b">
        <v>0</v>
      </c>
      <c r="R1127" t="str">
        <f>"9781907322396"</f>
        <v>9781907322396</v>
      </c>
      <c r="S1127" t="str">
        <f>"9781781881286"</f>
        <v>9781781881286</v>
      </c>
      <c r="T1127">
        <v>878078741</v>
      </c>
    </row>
    <row r="1128" spans="1:20" x14ac:dyDescent="0.25">
      <c r="A1128">
        <v>736133</v>
      </c>
      <c r="B1128" t="s">
        <v>5530</v>
      </c>
      <c r="C1128" t="s">
        <v>5531</v>
      </c>
      <c r="D1128" t="s">
        <v>211</v>
      </c>
      <c r="E1128" t="s">
        <v>212</v>
      </c>
      <c r="F1128">
        <v>2013</v>
      </c>
      <c r="G1128" t="s">
        <v>3721</v>
      </c>
      <c r="H1128" t="s">
        <v>5532</v>
      </c>
      <c r="I1128" t="s">
        <v>5533</v>
      </c>
      <c r="J1128" t="s">
        <v>26</v>
      </c>
      <c r="K1128" t="s">
        <v>27</v>
      </c>
      <c r="L1128" t="b">
        <v>1</v>
      </c>
      <c r="M1128" t="s">
        <v>5534</v>
      </c>
      <c r="N1128" t="str">
        <f>"362.7340994"</f>
        <v>362.7340994</v>
      </c>
      <c r="P1128" t="b">
        <v>0</v>
      </c>
      <c r="Q1128" t="b">
        <v>0</v>
      </c>
      <c r="T1128">
        <v>874563398</v>
      </c>
    </row>
    <row r="1129" spans="1:20" x14ac:dyDescent="0.25">
      <c r="A1129">
        <v>736131</v>
      </c>
      <c r="B1129" t="s">
        <v>5535</v>
      </c>
      <c r="C1129" t="s">
        <v>5536</v>
      </c>
      <c r="D1129" t="s">
        <v>211</v>
      </c>
      <c r="E1129" t="s">
        <v>212</v>
      </c>
      <c r="F1129">
        <v>2013</v>
      </c>
      <c r="G1129" t="s">
        <v>1632</v>
      </c>
      <c r="H1129" t="s">
        <v>5537</v>
      </c>
      <c r="I1129" t="s">
        <v>5538</v>
      </c>
      <c r="J1129" t="s">
        <v>26</v>
      </c>
      <c r="K1129" t="s">
        <v>27</v>
      </c>
      <c r="L1129" t="b">
        <v>1</v>
      </c>
      <c r="M1129" t="s">
        <v>5539</v>
      </c>
      <c r="N1129" t="str">
        <f>"940.41294"</f>
        <v>940.41294</v>
      </c>
      <c r="P1129" t="b">
        <v>0</v>
      </c>
      <c r="Q1129" t="b">
        <v>0</v>
      </c>
      <c r="T1129">
        <v>874563396</v>
      </c>
    </row>
    <row r="1130" spans="1:20" x14ac:dyDescent="0.25">
      <c r="A1130">
        <v>733511</v>
      </c>
      <c r="B1130" t="s">
        <v>5540</v>
      </c>
      <c r="C1130" t="s">
        <v>5541</v>
      </c>
      <c r="D1130" t="s">
        <v>5518</v>
      </c>
      <c r="E1130" t="s">
        <v>5519</v>
      </c>
      <c r="F1130">
        <v>2014</v>
      </c>
      <c r="G1130" t="s">
        <v>1900</v>
      </c>
      <c r="H1130" t="s">
        <v>5542</v>
      </c>
      <c r="I1130" t="s">
        <v>5543</v>
      </c>
      <c r="J1130" t="s">
        <v>26</v>
      </c>
      <c r="K1130" t="s">
        <v>27</v>
      </c>
      <c r="L1130" t="b">
        <v>1</v>
      </c>
      <c r="M1130" t="s">
        <v>5544</v>
      </c>
      <c r="N1130" t="str">
        <f>"305.40952"</f>
        <v>305.40952</v>
      </c>
      <c r="O1130" t="s">
        <v>2352</v>
      </c>
      <c r="P1130" t="b">
        <v>0</v>
      </c>
      <c r="Q1130" t="b">
        <v>0</v>
      </c>
      <c r="R1130" t="str">
        <f>"9780824836962"</f>
        <v>9780824836962</v>
      </c>
      <c r="S1130" t="str">
        <f>"9780824839024"</f>
        <v>9780824839024</v>
      </c>
      <c r="T1130">
        <v>869303962</v>
      </c>
    </row>
    <row r="1131" spans="1:20" x14ac:dyDescent="0.25">
      <c r="A1131">
        <v>714731</v>
      </c>
      <c r="B1131" t="s">
        <v>5545</v>
      </c>
      <c r="C1131" t="s">
        <v>5546</v>
      </c>
      <c r="D1131" t="s">
        <v>2238</v>
      </c>
      <c r="E1131" t="s">
        <v>2239</v>
      </c>
      <c r="F1131">
        <v>2013</v>
      </c>
      <c r="G1131" t="s">
        <v>2321</v>
      </c>
      <c r="H1131" t="s">
        <v>5547</v>
      </c>
      <c r="I1131" t="s">
        <v>5548</v>
      </c>
      <c r="J1131" t="s">
        <v>26</v>
      </c>
      <c r="K1131" t="s">
        <v>86</v>
      </c>
      <c r="L1131" t="b">
        <v>1</v>
      </c>
      <c r="M1131" t="s">
        <v>5549</v>
      </c>
      <c r="N1131" t="str">
        <f>"305.8/00285/4678"</f>
        <v>305.8/00285/4678</v>
      </c>
      <c r="P1131" t="b">
        <v>0</v>
      </c>
      <c r="R1131" t="str">
        <f>"9780415938365"</f>
        <v>9780415938365</v>
      </c>
      <c r="S1131" t="str">
        <f>"9781135222055"</f>
        <v>9781135222055</v>
      </c>
      <c r="T1131">
        <v>873136963</v>
      </c>
    </row>
    <row r="1132" spans="1:20" x14ac:dyDescent="0.25">
      <c r="A1132">
        <v>714271</v>
      </c>
      <c r="B1132" t="s">
        <v>5550</v>
      </c>
      <c r="C1132" t="s">
        <v>5551</v>
      </c>
      <c r="D1132" t="s">
        <v>2013</v>
      </c>
      <c r="E1132" t="s">
        <v>2013</v>
      </c>
      <c r="F1132">
        <v>2014</v>
      </c>
      <c r="G1132" t="s">
        <v>571</v>
      </c>
      <c r="H1132" t="s">
        <v>5552</v>
      </c>
      <c r="I1132" t="s">
        <v>5553</v>
      </c>
      <c r="J1132" t="s">
        <v>26</v>
      </c>
      <c r="K1132" t="s">
        <v>27</v>
      </c>
      <c r="L1132" t="b">
        <v>1</v>
      </c>
      <c r="M1132" t="s">
        <v>5554</v>
      </c>
      <c r="N1132" t="str">
        <f>"305.6/97094"</f>
        <v>305.6/97094</v>
      </c>
      <c r="O1132" t="s">
        <v>4357</v>
      </c>
      <c r="P1132" t="b">
        <v>0</v>
      </c>
      <c r="Q1132" t="b">
        <v>0</v>
      </c>
      <c r="R1132" t="str">
        <f>"9789058679819"</f>
        <v>9789058679819</v>
      </c>
      <c r="S1132" t="str">
        <f>"9789461661302"</f>
        <v>9789461661302</v>
      </c>
      <c r="T1132">
        <v>874920982</v>
      </c>
    </row>
    <row r="1133" spans="1:20" x14ac:dyDescent="0.25">
      <c r="A1133">
        <v>714260</v>
      </c>
      <c r="B1133" t="s">
        <v>5555</v>
      </c>
      <c r="C1133" t="s">
        <v>5556</v>
      </c>
      <c r="D1133" t="s">
        <v>2013</v>
      </c>
      <c r="E1133" t="s">
        <v>2013</v>
      </c>
      <c r="F1133">
        <v>2011</v>
      </c>
      <c r="G1133" t="s">
        <v>197</v>
      </c>
      <c r="H1133" t="s">
        <v>5557</v>
      </c>
      <c r="J1133" t="s">
        <v>26</v>
      </c>
      <c r="K1133" t="s">
        <v>27</v>
      </c>
      <c r="L1133" t="b">
        <v>1</v>
      </c>
      <c r="M1133" t="s">
        <v>5558</v>
      </c>
      <c r="N1133" t="str">
        <f>"184"</f>
        <v>184</v>
      </c>
      <c r="O1133" t="s">
        <v>5559</v>
      </c>
      <c r="P1133" t="b">
        <v>0</v>
      </c>
      <c r="R1133" t="str">
        <f>"9789058678584"</f>
        <v>9789058678584</v>
      </c>
      <c r="S1133" t="str">
        <f>"9789461661180"</f>
        <v>9789461661180</v>
      </c>
      <c r="T1133">
        <v>876671467</v>
      </c>
    </row>
    <row r="1134" spans="1:20" x14ac:dyDescent="0.25">
      <c r="A1134">
        <v>714249</v>
      </c>
      <c r="B1134" t="s">
        <v>5560</v>
      </c>
      <c r="C1134" t="s">
        <v>5561</v>
      </c>
      <c r="D1134" t="s">
        <v>2013</v>
      </c>
      <c r="E1134" t="s">
        <v>2013</v>
      </c>
      <c r="F1134">
        <v>2012</v>
      </c>
      <c r="G1134" t="s">
        <v>4916</v>
      </c>
      <c r="H1134" t="s">
        <v>5562</v>
      </c>
      <c r="I1134" t="s">
        <v>5563</v>
      </c>
      <c r="J1134" t="s">
        <v>26</v>
      </c>
      <c r="K1134" t="s">
        <v>27</v>
      </c>
      <c r="L1134" t="b">
        <v>1</v>
      </c>
      <c r="M1134" t="s">
        <v>5564</v>
      </c>
      <c r="N1134" t="str">
        <f>"233/.5"</f>
        <v>233/.5</v>
      </c>
      <c r="O1134" t="s">
        <v>5565</v>
      </c>
      <c r="P1134" t="b">
        <v>0</v>
      </c>
      <c r="Q1134" t="b">
        <v>0</v>
      </c>
      <c r="R1134" t="str">
        <f>"9789058679123"</f>
        <v>9789058679123</v>
      </c>
      <c r="S1134" t="str">
        <f>"9789461661043"</f>
        <v>9789461661043</v>
      </c>
      <c r="T1134">
        <v>878818878</v>
      </c>
    </row>
    <row r="1135" spans="1:20" x14ac:dyDescent="0.25">
      <c r="A1135">
        <v>712550</v>
      </c>
      <c r="B1135" t="s">
        <v>5566</v>
      </c>
      <c r="D1135" t="s">
        <v>5287</v>
      </c>
      <c r="E1135" t="s">
        <v>5288</v>
      </c>
      <c r="F1135">
        <v>2009</v>
      </c>
      <c r="G1135" t="s">
        <v>5567</v>
      </c>
      <c r="H1135" t="s">
        <v>5289</v>
      </c>
      <c r="I1135" t="s">
        <v>5568</v>
      </c>
      <c r="J1135" t="s">
        <v>26</v>
      </c>
      <c r="K1135" t="s">
        <v>27</v>
      </c>
      <c r="L1135" t="b">
        <v>1</v>
      </c>
      <c r="N1135" t="str">
        <f>"616.853"</f>
        <v>616.853</v>
      </c>
      <c r="O1135" t="s">
        <v>5569</v>
      </c>
      <c r="P1135" t="b">
        <v>0</v>
      </c>
      <c r="R1135" t="str">
        <f>"9782742006540"</f>
        <v>9782742006540</v>
      </c>
      <c r="S1135" t="str">
        <f>"9782742010714"</f>
        <v>9782742010714</v>
      </c>
      <c r="T1135">
        <v>894511156</v>
      </c>
    </row>
    <row r="1136" spans="1:20" x14ac:dyDescent="0.25">
      <c r="A1136">
        <v>710448</v>
      </c>
      <c r="B1136" t="s">
        <v>5570</v>
      </c>
      <c r="D1136" t="s">
        <v>255</v>
      </c>
      <c r="E1136" t="s">
        <v>256</v>
      </c>
      <c r="F1136">
        <v>2001</v>
      </c>
      <c r="G1136" t="s">
        <v>2301</v>
      </c>
      <c r="H1136" t="s">
        <v>5571</v>
      </c>
      <c r="I1136" t="s">
        <v>2312</v>
      </c>
      <c r="J1136" t="s">
        <v>26</v>
      </c>
      <c r="K1136" t="s">
        <v>27</v>
      </c>
      <c r="L1136" t="b">
        <v>1</v>
      </c>
      <c r="M1136" t="s">
        <v>5572</v>
      </c>
      <c r="N1136" t="str">
        <f>"821"</f>
        <v>821</v>
      </c>
      <c r="P1136" t="b">
        <v>0</v>
      </c>
      <c r="S1136" t="str">
        <f>"9781775586371"</f>
        <v>9781775586371</v>
      </c>
      <c r="T1136">
        <v>874164640</v>
      </c>
    </row>
    <row r="1137" spans="1:20" x14ac:dyDescent="0.25">
      <c r="A1137">
        <v>710447</v>
      </c>
      <c r="B1137" t="s">
        <v>5573</v>
      </c>
      <c r="C1137" t="s">
        <v>5574</v>
      </c>
      <c r="D1137" t="s">
        <v>255</v>
      </c>
      <c r="E1137" t="s">
        <v>256</v>
      </c>
      <c r="F1137">
        <v>2008</v>
      </c>
      <c r="G1137" t="s">
        <v>712</v>
      </c>
      <c r="H1137" t="s">
        <v>5575</v>
      </c>
      <c r="I1137" t="s">
        <v>5576</v>
      </c>
      <c r="J1137" t="s">
        <v>26</v>
      </c>
      <c r="K1137" t="s">
        <v>27</v>
      </c>
      <c r="L1137" t="b">
        <v>1</v>
      </c>
      <c r="M1137" t="s">
        <v>5577</v>
      </c>
      <c r="N1137" t="str">
        <f>"305.9/06912093"</f>
        <v>305.9/06912093</v>
      </c>
      <c r="O1137" t="s">
        <v>5578</v>
      </c>
      <c r="P1137" t="b">
        <v>0</v>
      </c>
      <c r="S1137" t="str">
        <f>"9781775586128"</f>
        <v>9781775586128</v>
      </c>
      <c r="T1137">
        <v>872116494</v>
      </c>
    </row>
    <row r="1138" spans="1:20" x14ac:dyDescent="0.25">
      <c r="A1138">
        <v>710446</v>
      </c>
      <c r="B1138" t="s">
        <v>5579</v>
      </c>
      <c r="D1138" t="s">
        <v>255</v>
      </c>
      <c r="E1138" t="s">
        <v>256</v>
      </c>
      <c r="F1138">
        <v>2008</v>
      </c>
      <c r="G1138" t="s">
        <v>2301</v>
      </c>
      <c r="H1138" t="s">
        <v>5580</v>
      </c>
      <c r="I1138" t="s">
        <v>2299</v>
      </c>
      <c r="J1138" t="s">
        <v>26</v>
      </c>
      <c r="K1138" t="s">
        <v>27</v>
      </c>
      <c r="L1138" t="b">
        <v>1</v>
      </c>
      <c r="M1138" t="s">
        <v>5581</v>
      </c>
      <c r="N1138" t="str">
        <f>"821.2"</f>
        <v>821.2</v>
      </c>
      <c r="P1138" t="b">
        <v>0</v>
      </c>
      <c r="S1138" t="str">
        <f>"9781775585336"</f>
        <v>9781775585336</v>
      </c>
      <c r="T1138">
        <v>872116611</v>
      </c>
    </row>
    <row r="1139" spans="1:20" x14ac:dyDescent="0.25">
      <c r="A1139">
        <v>710444</v>
      </c>
      <c r="B1139" t="s">
        <v>5582</v>
      </c>
      <c r="C1139" t="s">
        <v>5583</v>
      </c>
      <c r="D1139" t="s">
        <v>255</v>
      </c>
      <c r="E1139" t="s">
        <v>256</v>
      </c>
      <c r="F1139">
        <v>2002</v>
      </c>
      <c r="G1139" t="s">
        <v>797</v>
      </c>
      <c r="H1139" t="s">
        <v>5584</v>
      </c>
      <c r="J1139" t="s">
        <v>26</v>
      </c>
      <c r="K1139" t="s">
        <v>27</v>
      </c>
      <c r="L1139" t="b">
        <v>1</v>
      </c>
      <c r="M1139" t="s">
        <v>5585</v>
      </c>
      <c r="N1139" t="str">
        <f>"NZ821.2"</f>
        <v>NZ821.2</v>
      </c>
      <c r="P1139" t="b">
        <v>0</v>
      </c>
      <c r="S1139" t="str">
        <f>"9781775586180"</f>
        <v>9781775586180</v>
      </c>
      <c r="T1139">
        <v>874911229</v>
      </c>
    </row>
    <row r="1140" spans="1:20" x14ac:dyDescent="0.25">
      <c r="A1140">
        <v>710443</v>
      </c>
      <c r="B1140" t="s">
        <v>5586</v>
      </c>
      <c r="D1140" t="s">
        <v>255</v>
      </c>
      <c r="E1140" t="s">
        <v>256</v>
      </c>
      <c r="F1140">
        <v>2005</v>
      </c>
      <c r="G1140" t="s">
        <v>2301</v>
      </c>
      <c r="H1140" t="s">
        <v>5587</v>
      </c>
      <c r="I1140" t="s">
        <v>5588</v>
      </c>
      <c r="J1140" t="s">
        <v>26</v>
      </c>
      <c r="K1140" t="s">
        <v>27</v>
      </c>
      <c r="L1140" t="b">
        <v>1</v>
      </c>
      <c r="M1140" t="s">
        <v>5572</v>
      </c>
      <c r="N1140" t="str">
        <f>"821.93"</f>
        <v>821.93</v>
      </c>
      <c r="P1140" t="b">
        <v>0</v>
      </c>
      <c r="S1140" t="str">
        <f>"9781775586753"</f>
        <v>9781775586753</v>
      </c>
      <c r="T1140">
        <v>874918207</v>
      </c>
    </row>
    <row r="1141" spans="1:20" x14ac:dyDescent="0.25">
      <c r="A1141">
        <v>710442</v>
      </c>
      <c r="B1141" t="s">
        <v>5589</v>
      </c>
      <c r="D1141" t="s">
        <v>255</v>
      </c>
      <c r="E1141" t="s">
        <v>256</v>
      </c>
      <c r="F1141">
        <v>2002</v>
      </c>
      <c r="G1141" t="s">
        <v>2310</v>
      </c>
      <c r="H1141" t="s">
        <v>5590</v>
      </c>
      <c r="I1141" t="s">
        <v>2303</v>
      </c>
      <c r="J1141" t="s">
        <v>26</v>
      </c>
      <c r="K1141" t="s">
        <v>27</v>
      </c>
      <c r="L1141" t="b">
        <v>1</v>
      </c>
      <c r="M1141" t="s">
        <v>5591</v>
      </c>
      <c r="N1141" t="str">
        <f>"821.2"</f>
        <v>821.2</v>
      </c>
      <c r="P1141" t="b">
        <v>0</v>
      </c>
      <c r="S1141" t="str">
        <f>"9781775586838"</f>
        <v>9781775586838</v>
      </c>
      <c r="T1141">
        <v>874912038</v>
      </c>
    </row>
    <row r="1142" spans="1:20" x14ac:dyDescent="0.25">
      <c r="A1142">
        <v>710441</v>
      </c>
      <c r="B1142" t="s">
        <v>5592</v>
      </c>
      <c r="D1142" t="s">
        <v>255</v>
      </c>
      <c r="E1142" t="s">
        <v>256</v>
      </c>
      <c r="F1142">
        <v>2005</v>
      </c>
      <c r="G1142" t="s">
        <v>695</v>
      </c>
      <c r="H1142" t="s">
        <v>5593</v>
      </c>
      <c r="I1142" t="s">
        <v>5594</v>
      </c>
      <c r="J1142" t="s">
        <v>26</v>
      </c>
      <c r="K1142" t="s">
        <v>27</v>
      </c>
      <c r="L1142" t="b">
        <v>1</v>
      </c>
      <c r="M1142" t="s">
        <v>5595</v>
      </c>
      <c r="N1142" t="str">
        <f>"823/.914"</f>
        <v>823/.914</v>
      </c>
      <c r="P1142" t="b">
        <v>0</v>
      </c>
      <c r="S1142" t="str">
        <f>"9781775585282"</f>
        <v>9781775585282</v>
      </c>
      <c r="T1142">
        <v>872116662</v>
      </c>
    </row>
    <row r="1143" spans="1:20" x14ac:dyDescent="0.25">
      <c r="A1143">
        <v>710440</v>
      </c>
      <c r="B1143" t="s">
        <v>5596</v>
      </c>
      <c r="D1143" t="s">
        <v>255</v>
      </c>
      <c r="E1143" t="s">
        <v>256</v>
      </c>
      <c r="F1143">
        <v>2012</v>
      </c>
      <c r="G1143" t="s">
        <v>5597</v>
      </c>
      <c r="H1143" t="s">
        <v>5598</v>
      </c>
      <c r="I1143" t="s">
        <v>5599</v>
      </c>
      <c r="J1143" t="s">
        <v>26</v>
      </c>
      <c r="K1143" t="s">
        <v>27</v>
      </c>
      <c r="L1143" t="b">
        <v>1</v>
      </c>
      <c r="M1143" t="s">
        <v>5600</v>
      </c>
      <c r="N1143" t="str">
        <f>"759.993"</f>
        <v>759.993</v>
      </c>
      <c r="P1143" t="b">
        <v>0</v>
      </c>
      <c r="S1143" t="str">
        <f>"9781775586203"</f>
        <v>9781775586203</v>
      </c>
      <c r="T1143">
        <v>872116608</v>
      </c>
    </row>
    <row r="1144" spans="1:20" x14ac:dyDescent="0.25">
      <c r="A1144">
        <v>710439</v>
      </c>
      <c r="B1144" t="s">
        <v>5601</v>
      </c>
      <c r="D1144" t="s">
        <v>255</v>
      </c>
      <c r="E1144" t="s">
        <v>256</v>
      </c>
      <c r="F1144">
        <v>2009</v>
      </c>
      <c r="G1144" t="s">
        <v>2301</v>
      </c>
      <c r="H1144" t="s">
        <v>5602</v>
      </c>
      <c r="I1144" t="s">
        <v>5603</v>
      </c>
      <c r="J1144" t="s">
        <v>26</v>
      </c>
      <c r="K1144" t="s">
        <v>86</v>
      </c>
      <c r="L1144" t="b">
        <v>1</v>
      </c>
      <c r="M1144" t="s">
        <v>5604</v>
      </c>
      <c r="N1144" t="str">
        <f>"NZ821.2"</f>
        <v>NZ821.2</v>
      </c>
      <c r="P1144" t="b">
        <v>0</v>
      </c>
      <c r="S1144" t="str">
        <f>"9781775585947"</f>
        <v>9781775585947</v>
      </c>
      <c r="T1144">
        <v>874162103</v>
      </c>
    </row>
    <row r="1145" spans="1:20" x14ac:dyDescent="0.25">
      <c r="A1145">
        <v>710438</v>
      </c>
      <c r="B1145" t="s">
        <v>5605</v>
      </c>
      <c r="C1145" t="s">
        <v>5606</v>
      </c>
      <c r="D1145" t="s">
        <v>255</v>
      </c>
      <c r="E1145" t="s">
        <v>256</v>
      </c>
      <c r="F1145">
        <v>2003</v>
      </c>
      <c r="G1145" t="s">
        <v>2310</v>
      </c>
      <c r="H1145" t="s">
        <v>5607</v>
      </c>
      <c r="I1145" t="s">
        <v>2312</v>
      </c>
      <c r="J1145" t="s">
        <v>26</v>
      </c>
      <c r="K1145" t="s">
        <v>27</v>
      </c>
      <c r="L1145" t="b">
        <v>1</v>
      </c>
      <c r="M1145" t="s">
        <v>5608</v>
      </c>
      <c r="N1145" t="str">
        <f>"821/.912"</f>
        <v>821/.912</v>
      </c>
      <c r="P1145" t="b">
        <v>0</v>
      </c>
      <c r="S1145" t="str">
        <f>"9781775586968"</f>
        <v>9781775586968</v>
      </c>
      <c r="T1145">
        <v>872116508</v>
      </c>
    </row>
    <row r="1146" spans="1:20" x14ac:dyDescent="0.25">
      <c r="A1146">
        <v>710437</v>
      </c>
      <c r="B1146" t="s">
        <v>5609</v>
      </c>
      <c r="D1146" t="s">
        <v>255</v>
      </c>
      <c r="E1146" t="s">
        <v>256</v>
      </c>
      <c r="F1146">
        <v>2009</v>
      </c>
      <c r="G1146" t="s">
        <v>2301</v>
      </c>
      <c r="H1146" t="s">
        <v>5610</v>
      </c>
      <c r="I1146" t="s">
        <v>5611</v>
      </c>
      <c r="J1146" t="s">
        <v>26</v>
      </c>
      <c r="K1146" t="s">
        <v>27</v>
      </c>
      <c r="L1146" t="b">
        <v>1</v>
      </c>
      <c r="M1146" t="s">
        <v>5612</v>
      </c>
      <c r="N1146" t="str">
        <f>"821/.92"</f>
        <v>821/.92</v>
      </c>
      <c r="P1146" t="b">
        <v>0</v>
      </c>
      <c r="S1146" t="str">
        <f>"9781775586906"</f>
        <v>9781775586906</v>
      </c>
      <c r="T1146">
        <v>872116351</v>
      </c>
    </row>
    <row r="1147" spans="1:20" x14ac:dyDescent="0.25">
      <c r="A1147">
        <v>710436</v>
      </c>
      <c r="B1147" t="s">
        <v>5613</v>
      </c>
      <c r="D1147" t="s">
        <v>255</v>
      </c>
      <c r="E1147" t="s">
        <v>256</v>
      </c>
      <c r="F1147">
        <v>2006</v>
      </c>
      <c r="G1147" t="s">
        <v>2301</v>
      </c>
      <c r="H1147" t="s">
        <v>5614</v>
      </c>
      <c r="I1147" t="s">
        <v>5615</v>
      </c>
      <c r="J1147" t="s">
        <v>26</v>
      </c>
      <c r="K1147" t="s">
        <v>27</v>
      </c>
      <c r="L1147" t="b">
        <v>1</v>
      </c>
      <c r="M1147" t="s">
        <v>5616</v>
      </c>
      <c r="N1147" t="str">
        <f>"NZ828.307"</f>
        <v>NZ828.307</v>
      </c>
      <c r="P1147" t="b">
        <v>0</v>
      </c>
      <c r="S1147" t="str">
        <f>"9781775585176"</f>
        <v>9781775585176</v>
      </c>
      <c r="T1147">
        <v>872116507</v>
      </c>
    </row>
    <row r="1148" spans="1:20" x14ac:dyDescent="0.25">
      <c r="A1148">
        <v>710435</v>
      </c>
      <c r="B1148" t="s">
        <v>5617</v>
      </c>
      <c r="C1148" t="s">
        <v>5583</v>
      </c>
      <c r="D1148" t="s">
        <v>255</v>
      </c>
      <c r="E1148" t="s">
        <v>256</v>
      </c>
      <c r="F1148">
        <v>1999</v>
      </c>
      <c r="G1148" t="s">
        <v>797</v>
      </c>
      <c r="H1148" t="s">
        <v>5618</v>
      </c>
      <c r="I1148" t="s">
        <v>2299</v>
      </c>
      <c r="J1148" t="s">
        <v>26</v>
      </c>
      <c r="K1148" t="s">
        <v>27</v>
      </c>
      <c r="L1148" t="b">
        <v>1</v>
      </c>
      <c r="M1148" t="s">
        <v>5585</v>
      </c>
      <c r="N1148" t="str">
        <f>"821/.914"</f>
        <v>821/.914</v>
      </c>
      <c r="P1148" t="b">
        <v>0</v>
      </c>
      <c r="S1148" t="str">
        <f>"9781775586067"</f>
        <v>9781775586067</v>
      </c>
      <c r="T1148">
        <v>872116514</v>
      </c>
    </row>
    <row r="1149" spans="1:20" x14ac:dyDescent="0.25">
      <c r="A1149">
        <v>710434</v>
      </c>
      <c r="B1149" t="s">
        <v>5619</v>
      </c>
      <c r="D1149" t="s">
        <v>255</v>
      </c>
      <c r="E1149" t="s">
        <v>256</v>
      </c>
      <c r="F1149">
        <v>2007</v>
      </c>
      <c r="G1149" t="s">
        <v>2301</v>
      </c>
      <c r="H1149" t="s">
        <v>5620</v>
      </c>
      <c r="I1149" t="s">
        <v>1147</v>
      </c>
      <c r="J1149" t="s">
        <v>26</v>
      </c>
      <c r="K1149" t="s">
        <v>27</v>
      </c>
      <c r="L1149" t="b">
        <v>1</v>
      </c>
      <c r="M1149" t="s">
        <v>5612</v>
      </c>
      <c r="N1149" t="str">
        <f>"821.3"</f>
        <v>821.3</v>
      </c>
      <c r="P1149" t="b">
        <v>0</v>
      </c>
      <c r="S1149" t="str">
        <f>"9781775585725"</f>
        <v>9781775585725</v>
      </c>
      <c r="T1149">
        <v>874912693</v>
      </c>
    </row>
    <row r="1150" spans="1:20" x14ac:dyDescent="0.25">
      <c r="A1150">
        <v>710433</v>
      </c>
      <c r="B1150" t="s">
        <v>5621</v>
      </c>
      <c r="D1150" t="s">
        <v>255</v>
      </c>
      <c r="E1150" t="s">
        <v>256</v>
      </c>
      <c r="F1150">
        <v>1999</v>
      </c>
      <c r="G1150" t="s">
        <v>296</v>
      </c>
      <c r="H1150" t="s">
        <v>5622</v>
      </c>
      <c r="I1150" t="s">
        <v>5599</v>
      </c>
      <c r="J1150" t="s">
        <v>26</v>
      </c>
      <c r="K1150" t="s">
        <v>27</v>
      </c>
      <c r="L1150" t="b">
        <v>1</v>
      </c>
      <c r="M1150" t="s">
        <v>5595</v>
      </c>
      <c r="N1150" t="str">
        <f>"759.993"</f>
        <v>759.993</v>
      </c>
      <c r="P1150" t="b">
        <v>0</v>
      </c>
      <c r="S1150" t="str">
        <f>"9781775586609"</f>
        <v>9781775586609</v>
      </c>
      <c r="T1150">
        <v>872116609</v>
      </c>
    </row>
    <row r="1151" spans="1:20" x14ac:dyDescent="0.25">
      <c r="A1151">
        <v>710432</v>
      </c>
      <c r="B1151" t="s">
        <v>5623</v>
      </c>
      <c r="D1151" t="s">
        <v>255</v>
      </c>
      <c r="E1151" t="s">
        <v>256</v>
      </c>
      <c r="F1151">
        <v>2004</v>
      </c>
      <c r="G1151" t="s">
        <v>2301</v>
      </c>
      <c r="H1151" t="s">
        <v>5624</v>
      </c>
      <c r="I1151" t="s">
        <v>2303</v>
      </c>
      <c r="J1151" t="s">
        <v>26</v>
      </c>
      <c r="K1151" t="s">
        <v>27</v>
      </c>
      <c r="L1151" t="b">
        <v>1</v>
      </c>
      <c r="M1151" t="s">
        <v>5625</v>
      </c>
      <c r="N1151" t="str">
        <f>"NZ821.2"</f>
        <v>NZ821.2</v>
      </c>
      <c r="P1151" t="b">
        <v>0</v>
      </c>
      <c r="S1151" t="str">
        <f>"9781775585381"</f>
        <v>9781775585381</v>
      </c>
      <c r="T1151">
        <v>872116542</v>
      </c>
    </row>
    <row r="1152" spans="1:20" x14ac:dyDescent="0.25">
      <c r="A1152">
        <v>710431</v>
      </c>
      <c r="B1152" t="s">
        <v>5626</v>
      </c>
      <c r="C1152" t="s">
        <v>5627</v>
      </c>
      <c r="D1152" t="s">
        <v>255</v>
      </c>
      <c r="E1152" t="s">
        <v>256</v>
      </c>
      <c r="F1152">
        <v>2010</v>
      </c>
      <c r="G1152" t="s">
        <v>712</v>
      </c>
      <c r="H1152" t="s">
        <v>5628</v>
      </c>
      <c r="I1152" t="s">
        <v>5629</v>
      </c>
      <c r="J1152" t="s">
        <v>26</v>
      </c>
      <c r="K1152" t="s">
        <v>27</v>
      </c>
      <c r="L1152" t="b">
        <v>1</v>
      </c>
      <c r="M1152" t="s">
        <v>5630</v>
      </c>
      <c r="N1152" t="str">
        <f>"808.5108999442"</f>
        <v>808.5108999442</v>
      </c>
      <c r="P1152" t="b">
        <v>0</v>
      </c>
      <c r="S1152" t="str">
        <f>"9781775586920"</f>
        <v>9781775586920</v>
      </c>
      <c r="T1152">
        <v>872116586</v>
      </c>
    </row>
    <row r="1153" spans="1:20" x14ac:dyDescent="0.25">
      <c r="A1153">
        <v>710430</v>
      </c>
      <c r="B1153" t="s">
        <v>5631</v>
      </c>
      <c r="D1153" t="s">
        <v>255</v>
      </c>
      <c r="E1153" t="s">
        <v>256</v>
      </c>
      <c r="F1153">
        <v>2005</v>
      </c>
      <c r="G1153" t="s">
        <v>2301</v>
      </c>
      <c r="H1153" t="s">
        <v>5632</v>
      </c>
      <c r="I1153" t="s">
        <v>2303</v>
      </c>
      <c r="J1153" t="s">
        <v>26</v>
      </c>
      <c r="K1153" t="s">
        <v>27</v>
      </c>
      <c r="L1153" t="b">
        <v>1</v>
      </c>
      <c r="M1153" t="s">
        <v>5633</v>
      </c>
      <c r="N1153" t="str">
        <f>"821.92"</f>
        <v>821.92</v>
      </c>
      <c r="P1153" t="b">
        <v>0</v>
      </c>
      <c r="S1153" t="str">
        <f>"9781775586647"</f>
        <v>9781775586647</v>
      </c>
      <c r="T1153">
        <v>872116352</v>
      </c>
    </row>
    <row r="1154" spans="1:20" x14ac:dyDescent="0.25">
      <c r="A1154">
        <v>710429</v>
      </c>
      <c r="B1154" t="s">
        <v>5634</v>
      </c>
      <c r="C1154" t="s">
        <v>5635</v>
      </c>
      <c r="D1154" t="s">
        <v>255</v>
      </c>
      <c r="E1154" t="s">
        <v>256</v>
      </c>
      <c r="F1154">
        <v>2002</v>
      </c>
      <c r="G1154" t="s">
        <v>797</v>
      </c>
      <c r="H1154" t="s">
        <v>5636</v>
      </c>
      <c r="I1154" t="s">
        <v>2303</v>
      </c>
      <c r="J1154" t="s">
        <v>26</v>
      </c>
      <c r="K1154" t="s">
        <v>27</v>
      </c>
      <c r="L1154" t="b">
        <v>1</v>
      </c>
      <c r="M1154" t="s">
        <v>5616</v>
      </c>
      <c r="N1154" t="str">
        <f>"821.3"</f>
        <v>821.3</v>
      </c>
      <c r="P1154" t="b">
        <v>0</v>
      </c>
      <c r="S1154" t="str">
        <f>"9781775585695"</f>
        <v>9781775585695</v>
      </c>
      <c r="T1154">
        <v>874913362</v>
      </c>
    </row>
    <row r="1155" spans="1:20" x14ac:dyDescent="0.25">
      <c r="A1155">
        <v>710428</v>
      </c>
      <c r="B1155" t="s">
        <v>5637</v>
      </c>
      <c r="C1155" t="s">
        <v>5638</v>
      </c>
      <c r="D1155" t="s">
        <v>255</v>
      </c>
      <c r="E1155" t="s">
        <v>256</v>
      </c>
      <c r="F1155">
        <v>1999</v>
      </c>
      <c r="G1155" t="s">
        <v>2301</v>
      </c>
      <c r="H1155" t="s">
        <v>5639</v>
      </c>
      <c r="J1155" t="s">
        <v>26</v>
      </c>
      <c r="K1155" t="s">
        <v>27</v>
      </c>
      <c r="L1155" t="b">
        <v>1</v>
      </c>
      <c r="M1155" t="s">
        <v>5640</v>
      </c>
      <c r="N1155" t="str">
        <f>"821/.914"</f>
        <v>821/.914</v>
      </c>
      <c r="P1155" t="b">
        <v>0</v>
      </c>
      <c r="S1155" t="str">
        <f>"9781775586227"</f>
        <v>9781775586227</v>
      </c>
      <c r="T1155">
        <v>872116496</v>
      </c>
    </row>
    <row r="1156" spans="1:20" x14ac:dyDescent="0.25">
      <c r="A1156">
        <v>710427</v>
      </c>
      <c r="B1156" t="s">
        <v>5641</v>
      </c>
      <c r="C1156" t="s">
        <v>5642</v>
      </c>
      <c r="D1156" t="s">
        <v>255</v>
      </c>
      <c r="E1156" t="s">
        <v>256</v>
      </c>
      <c r="F1156">
        <v>2001</v>
      </c>
      <c r="G1156" t="s">
        <v>5643</v>
      </c>
      <c r="H1156" t="s">
        <v>5644</v>
      </c>
      <c r="I1156" t="s">
        <v>5645</v>
      </c>
      <c r="J1156" t="s">
        <v>26</v>
      </c>
      <c r="K1156" t="s">
        <v>27</v>
      </c>
      <c r="L1156" t="b">
        <v>1</v>
      </c>
      <c r="M1156" t="s">
        <v>5646</v>
      </c>
      <c r="N1156" t="str">
        <f>"808.530993"</f>
        <v>808.530993</v>
      </c>
      <c r="P1156" t="b">
        <v>0</v>
      </c>
      <c r="S1156" t="str">
        <f>"9781775585794"</f>
        <v>9781775585794</v>
      </c>
      <c r="T1156">
        <v>872116525</v>
      </c>
    </row>
    <row r="1157" spans="1:20" x14ac:dyDescent="0.25">
      <c r="A1157">
        <v>710426</v>
      </c>
      <c r="B1157" t="s">
        <v>5647</v>
      </c>
      <c r="C1157" t="s">
        <v>5648</v>
      </c>
      <c r="D1157" t="s">
        <v>255</v>
      </c>
      <c r="E1157" t="s">
        <v>256</v>
      </c>
      <c r="F1157">
        <v>2010</v>
      </c>
      <c r="G1157" t="s">
        <v>712</v>
      </c>
      <c r="H1157" t="s">
        <v>5649</v>
      </c>
      <c r="I1157" t="s">
        <v>5650</v>
      </c>
      <c r="J1157" t="s">
        <v>26</v>
      </c>
      <c r="K1157" t="s">
        <v>27</v>
      </c>
      <c r="L1157" t="b">
        <v>1</v>
      </c>
      <c r="M1157" t="s">
        <v>2318</v>
      </c>
      <c r="N1157" t="str">
        <f>"303.4820993"</f>
        <v>303.4820993</v>
      </c>
      <c r="P1157" t="b">
        <v>0</v>
      </c>
      <c r="S1157" t="str">
        <f>"9781775586821"</f>
        <v>9781775586821</v>
      </c>
      <c r="T1157">
        <v>872116460</v>
      </c>
    </row>
    <row r="1158" spans="1:20" x14ac:dyDescent="0.25">
      <c r="A1158">
        <v>710424</v>
      </c>
      <c r="B1158" t="s">
        <v>5651</v>
      </c>
      <c r="C1158" t="s">
        <v>5652</v>
      </c>
      <c r="D1158" t="s">
        <v>255</v>
      </c>
      <c r="E1158" t="s">
        <v>256</v>
      </c>
      <c r="F1158">
        <v>2000</v>
      </c>
      <c r="G1158" t="s">
        <v>797</v>
      </c>
      <c r="H1158" t="s">
        <v>5653</v>
      </c>
      <c r="I1158" t="s">
        <v>2312</v>
      </c>
      <c r="J1158" t="s">
        <v>26</v>
      </c>
      <c r="K1158" t="s">
        <v>27</v>
      </c>
      <c r="L1158" t="b">
        <v>1</v>
      </c>
      <c r="M1158" t="s">
        <v>5625</v>
      </c>
      <c r="N1158" t="str">
        <f>"821/.914"</f>
        <v>821/.914</v>
      </c>
      <c r="P1158" t="b">
        <v>0</v>
      </c>
      <c r="S1158" t="str">
        <f>"9781775585275"</f>
        <v>9781775585275</v>
      </c>
      <c r="T1158">
        <v>874162112</v>
      </c>
    </row>
    <row r="1159" spans="1:20" x14ac:dyDescent="0.25">
      <c r="A1159">
        <v>710422</v>
      </c>
      <c r="B1159" t="s">
        <v>5654</v>
      </c>
      <c r="D1159" t="s">
        <v>255</v>
      </c>
      <c r="E1159" t="s">
        <v>256</v>
      </c>
      <c r="F1159">
        <v>2007</v>
      </c>
      <c r="G1159" t="s">
        <v>797</v>
      </c>
      <c r="H1159" t="s">
        <v>5655</v>
      </c>
      <c r="J1159" t="s">
        <v>26</v>
      </c>
      <c r="K1159" t="s">
        <v>27</v>
      </c>
      <c r="L1159" t="b">
        <v>1</v>
      </c>
      <c r="M1159" t="s">
        <v>5656</v>
      </c>
      <c r="N1159" t="str">
        <f>"821/.914"</f>
        <v>821/.914</v>
      </c>
      <c r="P1159" t="b">
        <v>0</v>
      </c>
      <c r="S1159" t="str">
        <f>"9781775586586"</f>
        <v>9781775586586</v>
      </c>
      <c r="T1159">
        <v>872116482</v>
      </c>
    </row>
    <row r="1160" spans="1:20" x14ac:dyDescent="0.25">
      <c r="A1160">
        <v>710421</v>
      </c>
      <c r="B1160" t="s">
        <v>5657</v>
      </c>
      <c r="D1160" t="s">
        <v>255</v>
      </c>
      <c r="E1160" t="s">
        <v>256</v>
      </c>
      <c r="F1160">
        <v>2009</v>
      </c>
      <c r="G1160" t="s">
        <v>2301</v>
      </c>
      <c r="H1160" t="s">
        <v>5658</v>
      </c>
      <c r="I1160" t="s">
        <v>2303</v>
      </c>
      <c r="J1160" t="s">
        <v>26</v>
      </c>
      <c r="K1160" t="s">
        <v>27</v>
      </c>
      <c r="L1160" t="b">
        <v>1</v>
      </c>
      <c r="M1160" t="s">
        <v>5616</v>
      </c>
      <c r="N1160" t="str">
        <f>"820"</f>
        <v>820</v>
      </c>
      <c r="P1160" t="b">
        <v>0</v>
      </c>
      <c r="S1160" t="str">
        <f>"9781775586319"</f>
        <v>9781775586319</v>
      </c>
      <c r="T1160">
        <v>874915318</v>
      </c>
    </row>
    <row r="1161" spans="1:20" x14ac:dyDescent="0.25">
      <c r="A1161">
        <v>710420</v>
      </c>
      <c r="B1161" t="s">
        <v>5659</v>
      </c>
      <c r="C1161" t="s">
        <v>5660</v>
      </c>
      <c r="D1161" t="s">
        <v>255</v>
      </c>
      <c r="E1161" t="s">
        <v>256</v>
      </c>
      <c r="F1161">
        <v>2008</v>
      </c>
      <c r="G1161" t="s">
        <v>2556</v>
      </c>
      <c r="H1161" t="s">
        <v>5661</v>
      </c>
      <c r="I1161" t="s">
        <v>5662</v>
      </c>
      <c r="J1161" t="s">
        <v>26</v>
      </c>
      <c r="K1161" t="s">
        <v>27</v>
      </c>
      <c r="L1161" t="b">
        <v>1</v>
      </c>
      <c r="M1161" t="s">
        <v>5663</v>
      </c>
      <c r="N1161" t="str">
        <f>"305.805994420951"</f>
        <v>305.805994420951</v>
      </c>
      <c r="P1161" t="b">
        <v>0</v>
      </c>
      <c r="S1161" t="str">
        <f>"9781775585121"</f>
        <v>9781775585121</v>
      </c>
      <c r="T1161">
        <v>872116582</v>
      </c>
    </row>
    <row r="1162" spans="1:20" x14ac:dyDescent="0.25">
      <c r="A1162">
        <v>710419</v>
      </c>
      <c r="B1162" t="s">
        <v>5664</v>
      </c>
      <c r="C1162" t="s">
        <v>5665</v>
      </c>
      <c r="D1162" t="s">
        <v>255</v>
      </c>
      <c r="E1162" t="s">
        <v>256</v>
      </c>
      <c r="F1162">
        <v>2008</v>
      </c>
      <c r="G1162" t="s">
        <v>712</v>
      </c>
      <c r="H1162" t="s">
        <v>5666</v>
      </c>
      <c r="I1162" t="s">
        <v>5667</v>
      </c>
      <c r="J1162" t="s">
        <v>26</v>
      </c>
      <c r="K1162" t="s">
        <v>27</v>
      </c>
      <c r="L1162" t="b">
        <v>1</v>
      </c>
      <c r="M1162" t="s">
        <v>5668</v>
      </c>
      <c r="N1162" t="str">
        <f>"398.999442"</f>
        <v>398.999442</v>
      </c>
      <c r="P1162" t="b">
        <v>0</v>
      </c>
      <c r="S1162" t="str">
        <f>"9781775586258"</f>
        <v>9781775586258</v>
      </c>
      <c r="T1162">
        <v>872116663</v>
      </c>
    </row>
    <row r="1163" spans="1:20" x14ac:dyDescent="0.25">
      <c r="A1163">
        <v>710418</v>
      </c>
      <c r="B1163" t="s">
        <v>5669</v>
      </c>
      <c r="C1163" t="s">
        <v>5670</v>
      </c>
      <c r="D1163" t="s">
        <v>255</v>
      </c>
      <c r="E1163" t="s">
        <v>256</v>
      </c>
      <c r="F1163">
        <v>2010</v>
      </c>
      <c r="G1163" t="s">
        <v>2301</v>
      </c>
      <c r="H1163" t="s">
        <v>5671</v>
      </c>
      <c r="I1163" t="s">
        <v>2312</v>
      </c>
      <c r="J1163" t="s">
        <v>26</v>
      </c>
      <c r="K1163" t="s">
        <v>27</v>
      </c>
      <c r="L1163" t="b">
        <v>1</v>
      </c>
      <c r="M1163" t="s">
        <v>5672</v>
      </c>
      <c r="N1163" t="str">
        <f>"NZ821.2"</f>
        <v>NZ821.2</v>
      </c>
      <c r="P1163" t="b">
        <v>0</v>
      </c>
      <c r="S1163" t="str">
        <f>"9781775586913"</f>
        <v>9781775586913</v>
      </c>
      <c r="T1163">
        <v>874162061</v>
      </c>
    </row>
    <row r="1164" spans="1:20" x14ac:dyDescent="0.25">
      <c r="A1164">
        <v>710416</v>
      </c>
      <c r="B1164" t="s">
        <v>5673</v>
      </c>
      <c r="C1164" t="s">
        <v>5674</v>
      </c>
      <c r="D1164" t="s">
        <v>255</v>
      </c>
      <c r="E1164" t="s">
        <v>256</v>
      </c>
      <c r="F1164">
        <v>2008</v>
      </c>
      <c r="G1164" t="s">
        <v>5675</v>
      </c>
      <c r="H1164" t="s">
        <v>5676</v>
      </c>
      <c r="I1164" t="s">
        <v>5677</v>
      </c>
      <c r="J1164" t="s">
        <v>26</v>
      </c>
      <c r="K1164" t="s">
        <v>27</v>
      </c>
      <c r="L1164" t="b">
        <v>1</v>
      </c>
      <c r="M1164" t="s">
        <v>5581</v>
      </c>
      <c r="N1164" t="str">
        <f>"828/.914"</f>
        <v>828/.914</v>
      </c>
      <c r="P1164" t="b">
        <v>0</v>
      </c>
      <c r="S1164" t="str">
        <f>"9781775585152"</f>
        <v>9781775585152</v>
      </c>
      <c r="T1164">
        <v>682164702</v>
      </c>
    </row>
    <row r="1165" spans="1:20" x14ac:dyDescent="0.25">
      <c r="A1165">
        <v>710415</v>
      </c>
      <c r="B1165" t="s">
        <v>5678</v>
      </c>
      <c r="D1165" t="s">
        <v>255</v>
      </c>
      <c r="E1165" t="s">
        <v>256</v>
      </c>
      <c r="F1165">
        <v>1998</v>
      </c>
      <c r="G1165" t="s">
        <v>797</v>
      </c>
      <c r="H1165" t="s">
        <v>5679</v>
      </c>
      <c r="I1165" t="s">
        <v>5680</v>
      </c>
      <c r="J1165" t="s">
        <v>26</v>
      </c>
      <c r="K1165" t="s">
        <v>27</v>
      </c>
      <c r="L1165" t="b">
        <v>1</v>
      </c>
      <c r="M1165" t="s">
        <v>5681</v>
      </c>
      <c r="N1165" t="str">
        <f>"821/.914"</f>
        <v>821/.914</v>
      </c>
      <c r="P1165" t="b">
        <v>0</v>
      </c>
      <c r="S1165" t="str">
        <f>"9781775585169"</f>
        <v>9781775585169</v>
      </c>
      <c r="T1165">
        <v>872116219</v>
      </c>
    </row>
    <row r="1166" spans="1:20" x14ac:dyDescent="0.25">
      <c r="A1166">
        <v>710413</v>
      </c>
      <c r="B1166" t="s">
        <v>5682</v>
      </c>
      <c r="C1166" t="s">
        <v>5683</v>
      </c>
      <c r="D1166" t="s">
        <v>255</v>
      </c>
      <c r="E1166" t="s">
        <v>256</v>
      </c>
      <c r="F1166">
        <v>2001</v>
      </c>
      <c r="G1166" t="s">
        <v>2301</v>
      </c>
      <c r="H1166" t="s">
        <v>5684</v>
      </c>
      <c r="I1166" t="s">
        <v>2299</v>
      </c>
      <c r="J1166" t="s">
        <v>26</v>
      </c>
      <c r="K1166" t="s">
        <v>27</v>
      </c>
      <c r="L1166" t="b">
        <v>1</v>
      </c>
      <c r="M1166" t="s">
        <v>5685</v>
      </c>
      <c r="N1166" t="str">
        <f>"821.2"</f>
        <v>821.2</v>
      </c>
      <c r="P1166" t="b">
        <v>0</v>
      </c>
      <c r="S1166" t="str">
        <f>"9781775586579"</f>
        <v>9781775586579</v>
      </c>
      <c r="T1166">
        <v>874913020</v>
      </c>
    </row>
    <row r="1167" spans="1:20" x14ac:dyDescent="0.25">
      <c r="A1167">
        <v>710412</v>
      </c>
      <c r="B1167" t="s">
        <v>5686</v>
      </c>
      <c r="D1167" t="s">
        <v>255</v>
      </c>
      <c r="E1167" t="s">
        <v>256</v>
      </c>
      <c r="F1167">
        <v>2007</v>
      </c>
      <c r="G1167" t="s">
        <v>2301</v>
      </c>
      <c r="H1167" t="s">
        <v>5687</v>
      </c>
      <c r="I1167" t="s">
        <v>2303</v>
      </c>
      <c r="J1167" t="s">
        <v>26</v>
      </c>
      <c r="K1167" t="s">
        <v>27</v>
      </c>
      <c r="L1167" t="b">
        <v>1</v>
      </c>
      <c r="M1167" t="s">
        <v>5585</v>
      </c>
      <c r="N1167" t="str">
        <f>"821/.914"</f>
        <v>821/.914</v>
      </c>
      <c r="P1167" t="b">
        <v>0</v>
      </c>
      <c r="S1167" t="str">
        <f>"9781775585329"</f>
        <v>9781775585329</v>
      </c>
      <c r="T1167">
        <v>872116533</v>
      </c>
    </row>
    <row r="1168" spans="1:20" x14ac:dyDescent="0.25">
      <c r="A1168">
        <v>710411</v>
      </c>
      <c r="B1168" t="s">
        <v>5688</v>
      </c>
      <c r="D1168" t="s">
        <v>255</v>
      </c>
      <c r="E1168" t="s">
        <v>256</v>
      </c>
      <c r="F1168">
        <v>2005</v>
      </c>
      <c r="G1168" t="s">
        <v>5689</v>
      </c>
      <c r="H1168" t="s">
        <v>5690</v>
      </c>
      <c r="I1168" t="s">
        <v>5691</v>
      </c>
      <c r="J1168" t="s">
        <v>26</v>
      </c>
      <c r="K1168" t="s">
        <v>27</v>
      </c>
      <c r="L1168" t="b">
        <v>1</v>
      </c>
      <c r="M1168" t="s">
        <v>5640</v>
      </c>
      <c r="N1168" t="str">
        <f>"NZ821.2"</f>
        <v>NZ821.2</v>
      </c>
      <c r="P1168" t="b">
        <v>0</v>
      </c>
      <c r="S1168" t="str">
        <f>"9781775586845"</f>
        <v>9781775586845</v>
      </c>
      <c r="T1168">
        <v>872116546</v>
      </c>
    </row>
    <row r="1169" spans="1:20" x14ac:dyDescent="0.25">
      <c r="A1169">
        <v>710410</v>
      </c>
      <c r="B1169" t="s">
        <v>5692</v>
      </c>
      <c r="D1169" t="s">
        <v>255</v>
      </c>
      <c r="E1169" t="s">
        <v>256</v>
      </c>
      <c r="F1169">
        <v>2006</v>
      </c>
      <c r="G1169" t="s">
        <v>2301</v>
      </c>
      <c r="H1169" t="s">
        <v>5693</v>
      </c>
      <c r="I1169" t="s">
        <v>5694</v>
      </c>
      <c r="J1169" t="s">
        <v>26</v>
      </c>
      <c r="K1169" t="s">
        <v>27</v>
      </c>
      <c r="L1169" t="b">
        <v>1</v>
      </c>
      <c r="M1169" t="s">
        <v>5685</v>
      </c>
      <c r="N1169" t="str">
        <f>"821/.914"</f>
        <v>821/.914</v>
      </c>
      <c r="P1169" t="b">
        <v>0</v>
      </c>
      <c r="S1169" t="str">
        <f>"9781775586463"</f>
        <v>9781775586463</v>
      </c>
      <c r="T1169">
        <v>872116463</v>
      </c>
    </row>
    <row r="1170" spans="1:20" x14ac:dyDescent="0.25">
      <c r="A1170">
        <v>710409</v>
      </c>
      <c r="B1170" t="s">
        <v>5695</v>
      </c>
      <c r="C1170" t="s">
        <v>5696</v>
      </c>
      <c r="D1170" t="s">
        <v>255</v>
      </c>
      <c r="E1170" t="s">
        <v>256</v>
      </c>
      <c r="F1170">
        <v>1999</v>
      </c>
      <c r="G1170" t="s">
        <v>797</v>
      </c>
      <c r="H1170" t="s">
        <v>5697</v>
      </c>
      <c r="J1170" t="s">
        <v>26</v>
      </c>
      <c r="K1170" t="s">
        <v>27</v>
      </c>
      <c r="L1170" t="b">
        <v>1</v>
      </c>
      <c r="M1170" t="s">
        <v>5698</v>
      </c>
      <c r="N1170" t="str">
        <f>"821/.914"</f>
        <v>821/.914</v>
      </c>
      <c r="P1170" t="b">
        <v>0</v>
      </c>
      <c r="S1170" t="str">
        <f>"9781775586494"</f>
        <v>9781775586494</v>
      </c>
      <c r="T1170">
        <v>872116349</v>
      </c>
    </row>
    <row r="1171" spans="1:20" x14ac:dyDescent="0.25">
      <c r="A1171">
        <v>710408</v>
      </c>
      <c r="B1171" t="s">
        <v>5699</v>
      </c>
      <c r="D1171" t="s">
        <v>255</v>
      </c>
      <c r="E1171" t="s">
        <v>256</v>
      </c>
      <c r="F1171">
        <v>2003</v>
      </c>
      <c r="G1171" t="s">
        <v>2310</v>
      </c>
      <c r="H1171" t="s">
        <v>5700</v>
      </c>
      <c r="I1171" t="s">
        <v>2303</v>
      </c>
      <c r="J1171" t="s">
        <v>26</v>
      </c>
      <c r="K1171" t="s">
        <v>27</v>
      </c>
      <c r="L1171" t="b">
        <v>1</v>
      </c>
      <c r="M1171" t="s">
        <v>5633</v>
      </c>
      <c r="N1171" t="str">
        <f>"NZ821.3"</f>
        <v>NZ821.3</v>
      </c>
      <c r="P1171" t="b">
        <v>0</v>
      </c>
      <c r="S1171" t="str">
        <f>"9781775586159"</f>
        <v>9781775586159</v>
      </c>
      <c r="T1171">
        <v>874162004</v>
      </c>
    </row>
    <row r="1172" spans="1:20" x14ac:dyDescent="0.25">
      <c r="A1172">
        <v>710406</v>
      </c>
      <c r="B1172" t="s">
        <v>5701</v>
      </c>
      <c r="C1172" t="s">
        <v>5702</v>
      </c>
      <c r="D1172" t="s">
        <v>255</v>
      </c>
      <c r="E1172" t="s">
        <v>256</v>
      </c>
      <c r="F1172">
        <v>2009</v>
      </c>
      <c r="G1172" t="s">
        <v>5703</v>
      </c>
      <c r="H1172" t="s">
        <v>5704</v>
      </c>
      <c r="I1172" t="s">
        <v>5705</v>
      </c>
      <c r="J1172" t="s">
        <v>26</v>
      </c>
      <c r="K1172" t="s">
        <v>27</v>
      </c>
      <c r="L1172" t="b">
        <v>1</v>
      </c>
      <c r="M1172" t="s">
        <v>5706</v>
      </c>
      <c r="N1172" t="str">
        <f>"303.48299614"</f>
        <v>303.48299614</v>
      </c>
      <c r="P1172" t="b">
        <v>0</v>
      </c>
      <c r="S1172" t="str">
        <f>"9781775586708"</f>
        <v>9781775586708</v>
      </c>
      <c r="T1172">
        <v>872116538</v>
      </c>
    </row>
    <row r="1173" spans="1:20" x14ac:dyDescent="0.25">
      <c r="A1173">
        <v>710404</v>
      </c>
      <c r="B1173" t="s">
        <v>5707</v>
      </c>
      <c r="D1173" t="s">
        <v>255</v>
      </c>
      <c r="E1173" t="s">
        <v>256</v>
      </c>
      <c r="F1173">
        <v>2009</v>
      </c>
      <c r="G1173" t="s">
        <v>2301</v>
      </c>
      <c r="H1173" t="s">
        <v>5708</v>
      </c>
      <c r="I1173" t="s">
        <v>5709</v>
      </c>
      <c r="J1173" t="s">
        <v>26</v>
      </c>
      <c r="K1173" t="s">
        <v>27</v>
      </c>
      <c r="L1173" t="b">
        <v>1</v>
      </c>
      <c r="M1173" t="s">
        <v>5710</v>
      </c>
      <c r="N1173" t="str">
        <f>"821.3"</f>
        <v>821.3</v>
      </c>
      <c r="P1173" t="b">
        <v>0</v>
      </c>
      <c r="S1173" t="str">
        <f>"9781775585473"</f>
        <v>9781775585473</v>
      </c>
      <c r="T1173">
        <v>874915028</v>
      </c>
    </row>
    <row r="1174" spans="1:20" x14ac:dyDescent="0.25">
      <c r="A1174">
        <v>710403</v>
      </c>
      <c r="B1174" t="s">
        <v>5711</v>
      </c>
      <c r="C1174" t="s">
        <v>5712</v>
      </c>
      <c r="D1174" t="s">
        <v>255</v>
      </c>
      <c r="E1174" t="s">
        <v>256</v>
      </c>
      <c r="F1174">
        <v>2006</v>
      </c>
      <c r="G1174" t="s">
        <v>5233</v>
      </c>
      <c r="H1174" t="s">
        <v>5713</v>
      </c>
      <c r="I1174" t="s">
        <v>5714</v>
      </c>
      <c r="J1174" t="s">
        <v>26</v>
      </c>
      <c r="K1174" t="s">
        <v>27</v>
      </c>
      <c r="L1174" t="b">
        <v>1</v>
      </c>
      <c r="M1174" t="s">
        <v>5715</v>
      </c>
      <c r="N1174" t="str">
        <f>"327.93"</f>
        <v>327.93</v>
      </c>
      <c r="P1174" t="b">
        <v>0</v>
      </c>
      <c r="S1174" t="str">
        <f>"9781775585480"</f>
        <v>9781775585480</v>
      </c>
      <c r="T1174">
        <v>872116513</v>
      </c>
    </row>
    <row r="1175" spans="1:20" x14ac:dyDescent="0.25">
      <c r="A1175">
        <v>710400</v>
      </c>
      <c r="B1175" t="s">
        <v>5716</v>
      </c>
      <c r="D1175" t="s">
        <v>255</v>
      </c>
      <c r="E1175" t="s">
        <v>256</v>
      </c>
      <c r="F1175">
        <v>2009</v>
      </c>
      <c r="G1175" t="s">
        <v>2301</v>
      </c>
      <c r="H1175" t="s">
        <v>5717</v>
      </c>
      <c r="I1175" t="s">
        <v>1147</v>
      </c>
      <c r="J1175" t="s">
        <v>26</v>
      </c>
      <c r="K1175" t="s">
        <v>27</v>
      </c>
      <c r="L1175" t="b">
        <v>1</v>
      </c>
      <c r="M1175" t="s">
        <v>5718</v>
      </c>
      <c r="N1175" t="str">
        <f>"821/.914"</f>
        <v>821/.914</v>
      </c>
      <c r="P1175" t="b">
        <v>0</v>
      </c>
      <c r="S1175" t="str">
        <f>"9781775586661"</f>
        <v>9781775586661</v>
      </c>
      <c r="T1175">
        <v>874914772</v>
      </c>
    </row>
    <row r="1176" spans="1:20" x14ac:dyDescent="0.25">
      <c r="A1176">
        <v>710399</v>
      </c>
      <c r="B1176" t="s">
        <v>5719</v>
      </c>
      <c r="C1176" t="s">
        <v>5683</v>
      </c>
      <c r="D1176" t="s">
        <v>255</v>
      </c>
      <c r="E1176" t="s">
        <v>256</v>
      </c>
      <c r="F1176">
        <v>2000</v>
      </c>
      <c r="G1176" t="s">
        <v>797</v>
      </c>
      <c r="H1176" t="s">
        <v>5720</v>
      </c>
      <c r="I1176" t="s">
        <v>5694</v>
      </c>
      <c r="J1176" t="s">
        <v>26</v>
      </c>
      <c r="K1176" t="s">
        <v>27</v>
      </c>
      <c r="L1176" t="b">
        <v>1</v>
      </c>
      <c r="M1176" t="s">
        <v>5685</v>
      </c>
      <c r="N1176" t="str">
        <f>"821/.914"</f>
        <v>821/.914</v>
      </c>
      <c r="P1176" t="b">
        <v>0</v>
      </c>
      <c r="S1176" t="str">
        <f>"9781775586517"</f>
        <v>9781775586517</v>
      </c>
      <c r="T1176">
        <v>872116515</v>
      </c>
    </row>
    <row r="1177" spans="1:20" x14ac:dyDescent="0.25">
      <c r="A1177">
        <v>710398</v>
      </c>
      <c r="B1177" t="s">
        <v>5721</v>
      </c>
      <c r="C1177" t="s">
        <v>5722</v>
      </c>
      <c r="D1177" t="s">
        <v>255</v>
      </c>
      <c r="E1177" t="s">
        <v>256</v>
      </c>
      <c r="F1177">
        <v>2008</v>
      </c>
      <c r="G1177" t="s">
        <v>546</v>
      </c>
      <c r="H1177" t="s">
        <v>5723</v>
      </c>
      <c r="I1177" t="s">
        <v>5594</v>
      </c>
      <c r="J1177" t="s">
        <v>26</v>
      </c>
      <c r="K1177" t="s">
        <v>27</v>
      </c>
      <c r="L1177" t="b">
        <v>1</v>
      </c>
      <c r="M1177" t="s">
        <v>5724</v>
      </c>
      <c r="N1177" t="str">
        <f>"823.2"</f>
        <v>823.2</v>
      </c>
      <c r="P1177" t="b">
        <v>0</v>
      </c>
      <c r="S1177" t="str">
        <f>"9781775585985"</f>
        <v>9781775585985</v>
      </c>
      <c r="T1177">
        <v>872116568</v>
      </c>
    </row>
    <row r="1178" spans="1:20" x14ac:dyDescent="0.25">
      <c r="A1178">
        <v>710397</v>
      </c>
      <c r="B1178" t="s">
        <v>5725</v>
      </c>
      <c r="C1178" t="s">
        <v>5726</v>
      </c>
      <c r="D1178" t="s">
        <v>255</v>
      </c>
      <c r="E1178" t="s">
        <v>256</v>
      </c>
      <c r="F1178">
        <v>2007</v>
      </c>
      <c r="G1178" t="s">
        <v>5233</v>
      </c>
      <c r="H1178" t="s">
        <v>5727</v>
      </c>
      <c r="I1178" t="s">
        <v>5728</v>
      </c>
      <c r="J1178" t="s">
        <v>26</v>
      </c>
      <c r="K1178" t="s">
        <v>27</v>
      </c>
      <c r="L1178" t="b">
        <v>1</v>
      </c>
      <c r="M1178" t="s">
        <v>5729</v>
      </c>
      <c r="N1178" t="str">
        <f>"993.03092"</f>
        <v>993.03092</v>
      </c>
      <c r="P1178" t="b">
        <v>0</v>
      </c>
      <c r="S1178" t="str">
        <f>"9781775585787"</f>
        <v>9781775585787</v>
      </c>
      <c r="T1178">
        <v>872116493</v>
      </c>
    </row>
    <row r="1179" spans="1:20" x14ac:dyDescent="0.25">
      <c r="A1179">
        <v>706585</v>
      </c>
      <c r="B1179" t="s">
        <v>5730</v>
      </c>
      <c r="D1179" t="s">
        <v>5731</v>
      </c>
      <c r="E1179" t="s">
        <v>5502</v>
      </c>
      <c r="F1179">
        <v>2014</v>
      </c>
      <c r="G1179" t="s">
        <v>2428</v>
      </c>
      <c r="H1179" t="s">
        <v>5732</v>
      </c>
      <c r="I1179" t="s">
        <v>5733</v>
      </c>
      <c r="J1179" t="s">
        <v>26</v>
      </c>
      <c r="K1179" t="s">
        <v>27</v>
      </c>
      <c r="L1179" t="b">
        <v>1</v>
      </c>
      <c r="M1179" t="s">
        <v>5734</v>
      </c>
      <c r="N1179" t="str">
        <f>"323.03"</f>
        <v>323.03</v>
      </c>
      <c r="O1179" t="s">
        <v>5735</v>
      </c>
      <c r="P1179" t="b">
        <v>0</v>
      </c>
      <c r="R1179" t="str">
        <f>"9780810858459"</f>
        <v>9780810858459</v>
      </c>
      <c r="S1179" t="str">
        <f>"9780810880351"</f>
        <v>9780810880351</v>
      </c>
      <c r="T1179">
        <v>874320295</v>
      </c>
    </row>
    <row r="1180" spans="1:20" x14ac:dyDescent="0.25">
      <c r="A1180">
        <v>704289</v>
      </c>
      <c r="B1180" t="s">
        <v>5736</v>
      </c>
      <c r="D1180" t="s">
        <v>5737</v>
      </c>
      <c r="E1180" t="s">
        <v>5738</v>
      </c>
      <c r="F1180">
        <v>2008</v>
      </c>
      <c r="G1180" t="s">
        <v>5739</v>
      </c>
      <c r="H1180" t="s">
        <v>5740</v>
      </c>
      <c r="I1180" t="s">
        <v>5741</v>
      </c>
      <c r="J1180" t="s">
        <v>26</v>
      </c>
      <c r="K1180" t="s">
        <v>27</v>
      </c>
      <c r="L1180" t="b">
        <v>1</v>
      </c>
      <c r="M1180" t="s">
        <v>5742</v>
      </c>
      <c r="N1180" t="str">
        <f>"664/.36"</f>
        <v>664/.36</v>
      </c>
      <c r="P1180" t="b">
        <v>0</v>
      </c>
      <c r="R1180" t="str">
        <f>"9781893997905"</f>
        <v>9781893997905</v>
      </c>
      <c r="S1180" t="str">
        <f>"9781630670245"</f>
        <v>9781630670245</v>
      </c>
      <c r="T1180">
        <v>870994819</v>
      </c>
    </row>
    <row r="1181" spans="1:20" x14ac:dyDescent="0.25">
      <c r="A1181">
        <v>700446</v>
      </c>
      <c r="B1181" t="s">
        <v>5743</v>
      </c>
      <c r="C1181" t="s">
        <v>5744</v>
      </c>
      <c r="D1181" t="s">
        <v>123</v>
      </c>
      <c r="E1181" t="s">
        <v>124</v>
      </c>
      <c r="F1181">
        <v>2013</v>
      </c>
      <c r="G1181" t="s">
        <v>2931</v>
      </c>
      <c r="H1181" t="s">
        <v>5745</v>
      </c>
      <c r="I1181" t="s">
        <v>5746</v>
      </c>
      <c r="J1181" t="s">
        <v>26</v>
      </c>
      <c r="K1181" t="s">
        <v>48</v>
      </c>
      <c r="L1181" t="b">
        <v>1</v>
      </c>
      <c r="M1181" t="s">
        <v>5747</v>
      </c>
      <c r="N1181" t="str">
        <f>"940.54/86/0924;B"</f>
        <v>940.54/86/0924;B</v>
      </c>
      <c r="P1181" t="b">
        <v>0</v>
      </c>
      <c r="S1181" t="str">
        <f>"9781629143606"</f>
        <v>9781629143606</v>
      </c>
      <c r="T1181">
        <v>869641422</v>
      </c>
    </row>
    <row r="1182" spans="1:20" x14ac:dyDescent="0.25">
      <c r="A1182">
        <v>700419</v>
      </c>
      <c r="B1182" t="s">
        <v>5748</v>
      </c>
      <c r="C1182" t="s">
        <v>5749</v>
      </c>
      <c r="D1182" t="s">
        <v>123</v>
      </c>
      <c r="E1182" t="s">
        <v>124</v>
      </c>
      <c r="F1182">
        <v>2014</v>
      </c>
      <c r="G1182" t="s">
        <v>818</v>
      </c>
      <c r="H1182" t="s">
        <v>5750</v>
      </c>
      <c r="I1182" t="s">
        <v>5751</v>
      </c>
      <c r="J1182" t="s">
        <v>26</v>
      </c>
      <c r="K1182" t="s">
        <v>48</v>
      </c>
      <c r="L1182" t="b">
        <v>1</v>
      </c>
      <c r="M1182" t="s">
        <v>5752</v>
      </c>
      <c r="N1182" t="str">
        <f>"808.3872"</f>
        <v>808.3872</v>
      </c>
      <c r="P1182" t="b">
        <v>0</v>
      </c>
      <c r="R1182" t="str">
        <f>"9781626365520"</f>
        <v>9781626365520</v>
      </c>
      <c r="S1182" t="str">
        <f>"9781628739152"</f>
        <v>9781628739152</v>
      </c>
      <c r="T1182">
        <v>868488460</v>
      </c>
    </row>
    <row r="1183" spans="1:20" x14ac:dyDescent="0.25">
      <c r="A1183">
        <v>700374</v>
      </c>
      <c r="B1183" t="s">
        <v>5753</v>
      </c>
      <c r="C1183" t="s">
        <v>5754</v>
      </c>
      <c r="D1183" t="s">
        <v>123</v>
      </c>
      <c r="E1183" t="s">
        <v>124</v>
      </c>
      <c r="F1183">
        <v>2014</v>
      </c>
      <c r="G1183" t="s">
        <v>5755</v>
      </c>
      <c r="H1183" t="s">
        <v>5756</v>
      </c>
      <c r="I1183" t="s">
        <v>5757</v>
      </c>
      <c r="J1183" t="s">
        <v>26</v>
      </c>
      <c r="K1183" t="s">
        <v>48</v>
      </c>
      <c r="L1183" t="b">
        <v>1</v>
      </c>
      <c r="M1183" t="s">
        <v>5758</v>
      </c>
      <c r="N1183" t="str">
        <f>"623.4/41"</f>
        <v>623.4/41</v>
      </c>
      <c r="P1183" t="b">
        <v>0</v>
      </c>
      <c r="R1183" t="str">
        <f>"9781626364011"</f>
        <v>9781626364011</v>
      </c>
      <c r="S1183" t="str">
        <f>"9781628738476"</f>
        <v>9781628738476</v>
      </c>
      <c r="T1183">
        <v>867926533</v>
      </c>
    </row>
    <row r="1184" spans="1:20" x14ac:dyDescent="0.25">
      <c r="A1184">
        <v>700238</v>
      </c>
      <c r="B1184" t="s">
        <v>5759</v>
      </c>
      <c r="C1184" t="s">
        <v>5760</v>
      </c>
      <c r="D1184" t="s">
        <v>123</v>
      </c>
      <c r="E1184" t="s">
        <v>1706</v>
      </c>
      <c r="F1184">
        <v>2012</v>
      </c>
      <c r="G1184" t="s">
        <v>5761</v>
      </c>
      <c r="H1184" t="s">
        <v>5762</v>
      </c>
      <c r="J1184" t="s">
        <v>26</v>
      </c>
      <c r="K1184" t="s">
        <v>48</v>
      </c>
      <c r="L1184" t="b">
        <v>1</v>
      </c>
      <c r="M1184" t="s">
        <v>5763</v>
      </c>
      <c r="N1184" t="str">
        <f>"917.9804/51"</f>
        <v>917.9804/51</v>
      </c>
      <c r="P1184" t="b">
        <v>0</v>
      </c>
      <c r="R1184" t="str">
        <f>"9781611455038"</f>
        <v>9781611455038</v>
      </c>
      <c r="S1184" t="str">
        <f>"9781611457476"</f>
        <v>9781611457476</v>
      </c>
      <c r="T1184">
        <v>787844966</v>
      </c>
    </row>
    <row r="1185" spans="1:20" x14ac:dyDescent="0.25">
      <c r="A1185">
        <v>700230</v>
      </c>
      <c r="B1185" t="s">
        <v>5764</v>
      </c>
      <c r="C1185" t="s">
        <v>5765</v>
      </c>
      <c r="D1185" t="s">
        <v>123</v>
      </c>
      <c r="E1185" t="s">
        <v>1713</v>
      </c>
      <c r="F1185">
        <v>2012</v>
      </c>
      <c r="G1185" t="s">
        <v>5766</v>
      </c>
      <c r="H1185" t="s">
        <v>5767</v>
      </c>
      <c r="I1185" t="s">
        <v>5768</v>
      </c>
      <c r="J1185" t="s">
        <v>26</v>
      </c>
      <c r="K1185" t="s">
        <v>48</v>
      </c>
      <c r="L1185" t="b">
        <v>1</v>
      </c>
      <c r="M1185" t="s">
        <v>5769</v>
      </c>
      <c r="N1185" t="str">
        <f>"706.8/8"</f>
        <v>706.8/8</v>
      </c>
      <c r="P1185" t="b">
        <v>0</v>
      </c>
      <c r="Q1185" t="b">
        <v>0</v>
      </c>
      <c r="R1185" t="str">
        <f>"9781581159134"</f>
        <v>9781581159134</v>
      </c>
      <c r="S1185" t="str">
        <f>"9781621532309"</f>
        <v>9781621532309</v>
      </c>
      <c r="T1185">
        <v>823222759</v>
      </c>
    </row>
    <row r="1186" spans="1:20" x14ac:dyDescent="0.25">
      <c r="A1186">
        <v>700228</v>
      </c>
      <c r="B1186" t="s">
        <v>5770</v>
      </c>
      <c r="D1186" t="s">
        <v>123</v>
      </c>
      <c r="E1186" t="s">
        <v>1713</v>
      </c>
      <c r="F1186">
        <v>2012</v>
      </c>
      <c r="G1186" t="s">
        <v>3027</v>
      </c>
      <c r="H1186" t="s">
        <v>5771</v>
      </c>
      <c r="I1186" t="s">
        <v>5772</v>
      </c>
      <c r="J1186" t="s">
        <v>26</v>
      </c>
      <c r="K1186" t="s">
        <v>48</v>
      </c>
      <c r="L1186" t="b">
        <v>1</v>
      </c>
      <c r="M1186" t="s">
        <v>5773</v>
      </c>
      <c r="N1186" t="str">
        <f>"792.02/8"</f>
        <v>792.02/8</v>
      </c>
      <c r="O1186" t="s">
        <v>5774</v>
      </c>
      <c r="P1186" t="b">
        <v>0</v>
      </c>
      <c r="R1186" t="str">
        <f>"9781581159110"</f>
        <v>9781581159110</v>
      </c>
      <c r="S1186" t="str">
        <f>"9781621532330"</f>
        <v>9781621532330</v>
      </c>
      <c r="T1186">
        <v>818869954</v>
      </c>
    </row>
    <row r="1187" spans="1:20" x14ac:dyDescent="0.25">
      <c r="A1187">
        <v>700226</v>
      </c>
      <c r="B1187" t="s">
        <v>5775</v>
      </c>
      <c r="C1187" t="s">
        <v>5776</v>
      </c>
      <c r="D1187" t="s">
        <v>123</v>
      </c>
      <c r="E1187" t="s">
        <v>1713</v>
      </c>
      <c r="F1187">
        <v>2012</v>
      </c>
      <c r="G1187" t="s">
        <v>1835</v>
      </c>
      <c r="H1187" t="s">
        <v>5777</v>
      </c>
      <c r="I1187" t="s">
        <v>5778</v>
      </c>
      <c r="J1187" t="s">
        <v>26</v>
      </c>
      <c r="K1187" t="s">
        <v>48</v>
      </c>
      <c r="L1187" t="b">
        <v>1</v>
      </c>
      <c r="M1187" t="s">
        <v>5779</v>
      </c>
      <c r="N1187" t="str">
        <f>"792.02/5023;792.025023"</f>
        <v>792.02/5023;792.025023</v>
      </c>
      <c r="O1187" t="s">
        <v>5774</v>
      </c>
      <c r="P1187" t="b">
        <v>0</v>
      </c>
      <c r="R1187" t="str">
        <f>"9781581159080"</f>
        <v>9781581159080</v>
      </c>
      <c r="S1187" t="str">
        <f>"9781621532248"</f>
        <v>9781621532248</v>
      </c>
      <c r="T1187">
        <v>818869940</v>
      </c>
    </row>
    <row r="1188" spans="1:20" x14ac:dyDescent="0.25">
      <c r="A1188">
        <v>700211</v>
      </c>
      <c r="B1188" t="s">
        <v>5780</v>
      </c>
      <c r="C1188" t="s">
        <v>5781</v>
      </c>
      <c r="D1188" t="s">
        <v>123</v>
      </c>
      <c r="E1188" t="s">
        <v>1713</v>
      </c>
      <c r="F1188">
        <v>2008</v>
      </c>
      <c r="G1188" t="s">
        <v>5782</v>
      </c>
      <c r="H1188" t="s">
        <v>5783</v>
      </c>
      <c r="I1188" t="s">
        <v>5784</v>
      </c>
      <c r="J1188" t="s">
        <v>26</v>
      </c>
      <c r="K1188" t="s">
        <v>48</v>
      </c>
      <c r="L1188" t="b">
        <v>1</v>
      </c>
      <c r="M1188" t="s">
        <v>5785</v>
      </c>
      <c r="N1188" t="str">
        <f>"780.68"</f>
        <v>780.68</v>
      </c>
      <c r="P1188" t="b">
        <v>0</v>
      </c>
      <c r="R1188" t="str">
        <f>"9781581153170"</f>
        <v>9781581153170</v>
      </c>
      <c r="S1188" t="str">
        <f>"9781621531999"</f>
        <v>9781621531999</v>
      </c>
      <c r="T1188">
        <v>818869911</v>
      </c>
    </row>
    <row r="1189" spans="1:20" x14ac:dyDescent="0.25">
      <c r="A1189">
        <v>700207</v>
      </c>
      <c r="B1189" t="s">
        <v>5786</v>
      </c>
      <c r="C1189" t="s">
        <v>5787</v>
      </c>
      <c r="D1189" t="s">
        <v>123</v>
      </c>
      <c r="E1189" t="s">
        <v>1713</v>
      </c>
      <c r="F1189">
        <v>2012</v>
      </c>
      <c r="G1189" t="s">
        <v>213</v>
      </c>
      <c r="H1189" t="s">
        <v>5788</v>
      </c>
      <c r="I1189" t="s">
        <v>5789</v>
      </c>
      <c r="J1189" t="s">
        <v>26</v>
      </c>
      <c r="K1189" t="s">
        <v>48</v>
      </c>
      <c r="L1189" t="b">
        <v>1</v>
      </c>
      <c r="M1189" t="s">
        <v>5790</v>
      </c>
      <c r="N1189" t="str">
        <f>"808.06607"</f>
        <v>808.06607</v>
      </c>
      <c r="P1189" t="b">
        <v>0</v>
      </c>
      <c r="Q1189" t="b">
        <v>0</v>
      </c>
      <c r="R1189" t="str">
        <f>"9781581152227"</f>
        <v>9781581152227</v>
      </c>
      <c r="S1189" t="str">
        <f>"9781581159752"</f>
        <v>9781581159752</v>
      </c>
      <c r="T1189">
        <v>818869671</v>
      </c>
    </row>
    <row r="1190" spans="1:20" x14ac:dyDescent="0.25">
      <c r="A1190">
        <v>700204</v>
      </c>
      <c r="B1190" t="s">
        <v>5791</v>
      </c>
      <c r="D1190" t="s">
        <v>123</v>
      </c>
      <c r="E1190" t="s">
        <v>1713</v>
      </c>
      <c r="F1190">
        <v>2012</v>
      </c>
      <c r="G1190" t="s">
        <v>5792</v>
      </c>
      <c r="H1190" t="s">
        <v>5793</v>
      </c>
      <c r="I1190" t="s">
        <v>5794</v>
      </c>
      <c r="J1190" t="s">
        <v>26</v>
      </c>
      <c r="K1190" t="s">
        <v>48</v>
      </c>
      <c r="L1190" t="b">
        <v>1</v>
      </c>
      <c r="M1190" t="s">
        <v>5795</v>
      </c>
      <c r="N1190" t="str">
        <f>"741.6/0973;741.60973"</f>
        <v>741.6/0973;741.60973</v>
      </c>
      <c r="P1190" t="b">
        <v>0</v>
      </c>
      <c r="R1190" t="str">
        <f>"9781581152142"</f>
        <v>9781581152142</v>
      </c>
      <c r="S1190" t="str">
        <f>"9781581159745"</f>
        <v>9781581159745</v>
      </c>
      <c r="T1190">
        <v>821185585</v>
      </c>
    </row>
    <row r="1191" spans="1:20" x14ac:dyDescent="0.25">
      <c r="A1191">
        <v>700199</v>
      </c>
      <c r="B1191" t="s">
        <v>5796</v>
      </c>
      <c r="C1191" t="s">
        <v>5797</v>
      </c>
      <c r="D1191" t="s">
        <v>123</v>
      </c>
      <c r="E1191" t="s">
        <v>1713</v>
      </c>
      <c r="F1191">
        <v>2012</v>
      </c>
      <c r="G1191" t="s">
        <v>5792</v>
      </c>
      <c r="H1191" t="s">
        <v>5798</v>
      </c>
      <c r="I1191" t="s">
        <v>5799</v>
      </c>
      <c r="J1191" t="s">
        <v>26</v>
      </c>
      <c r="K1191" t="s">
        <v>48</v>
      </c>
      <c r="L1191" t="b">
        <v>1</v>
      </c>
      <c r="M1191" t="s">
        <v>5800</v>
      </c>
      <c r="N1191" t="str">
        <f>"741.602373"</f>
        <v>741.602373</v>
      </c>
      <c r="P1191" t="b">
        <v>0</v>
      </c>
      <c r="Q1191" t="b">
        <v>0</v>
      </c>
      <c r="R1191" t="str">
        <f>"9781581151992"</f>
        <v>9781581151992</v>
      </c>
      <c r="S1191" t="str">
        <f>"9781581159325"</f>
        <v>9781581159325</v>
      </c>
      <c r="T1191">
        <v>817904422</v>
      </c>
    </row>
    <row r="1192" spans="1:20" x14ac:dyDescent="0.25">
      <c r="A1192">
        <v>700190</v>
      </c>
      <c r="B1192" t="s">
        <v>5801</v>
      </c>
      <c r="D1192" t="s">
        <v>123</v>
      </c>
      <c r="E1192" t="s">
        <v>1713</v>
      </c>
      <c r="F1192">
        <v>2012</v>
      </c>
      <c r="G1192" t="s">
        <v>3027</v>
      </c>
      <c r="H1192" t="s">
        <v>5802</v>
      </c>
      <c r="I1192" t="s">
        <v>5803</v>
      </c>
      <c r="J1192" t="s">
        <v>26</v>
      </c>
      <c r="K1192" t="s">
        <v>48</v>
      </c>
      <c r="L1192" t="b">
        <v>1</v>
      </c>
      <c r="M1192" t="s">
        <v>5804</v>
      </c>
      <c r="N1192" t="str">
        <f>"792.028"</f>
        <v>792.028</v>
      </c>
      <c r="P1192" t="b">
        <v>0</v>
      </c>
      <c r="Q1192" t="b">
        <v>0</v>
      </c>
      <c r="R1192" t="str">
        <f>"9781581152524"</f>
        <v>9781581152524</v>
      </c>
      <c r="S1192" t="str">
        <f>"9781581159516"</f>
        <v>9781581159516</v>
      </c>
      <c r="T1192">
        <v>817904739</v>
      </c>
    </row>
    <row r="1193" spans="1:20" x14ac:dyDescent="0.25">
      <c r="A1193">
        <v>700185</v>
      </c>
      <c r="B1193" t="s">
        <v>5805</v>
      </c>
      <c r="C1193" t="s">
        <v>5806</v>
      </c>
      <c r="D1193" t="s">
        <v>123</v>
      </c>
      <c r="E1193" t="s">
        <v>1713</v>
      </c>
      <c r="F1193">
        <v>2012</v>
      </c>
      <c r="G1193" t="s">
        <v>5807</v>
      </c>
      <c r="H1193" t="s">
        <v>5808</v>
      </c>
      <c r="I1193" t="s">
        <v>5809</v>
      </c>
      <c r="J1193" t="s">
        <v>26</v>
      </c>
      <c r="K1193" t="s">
        <v>48</v>
      </c>
      <c r="L1193" t="b">
        <v>1</v>
      </c>
      <c r="M1193" t="s">
        <v>5810</v>
      </c>
      <c r="N1193" t="str">
        <f>"706.8/8;706.88"</f>
        <v>706.8/8;706.88</v>
      </c>
      <c r="P1193" t="b">
        <v>0</v>
      </c>
      <c r="Q1193" t="b">
        <v>0</v>
      </c>
      <c r="R1193" t="str">
        <f>"9781581155013"</f>
        <v>9781581155013</v>
      </c>
      <c r="S1193" t="str">
        <f>"9781581159769"</f>
        <v>9781581159769</v>
      </c>
      <c r="T1193">
        <v>818869674</v>
      </c>
    </row>
    <row r="1194" spans="1:20" x14ac:dyDescent="0.25">
      <c r="A1194">
        <v>699614</v>
      </c>
      <c r="B1194" t="s">
        <v>5811</v>
      </c>
      <c r="C1194" t="s">
        <v>5812</v>
      </c>
      <c r="D1194" t="s">
        <v>1364</v>
      </c>
      <c r="E1194" t="s">
        <v>2275</v>
      </c>
      <c r="F1194">
        <v>2013</v>
      </c>
      <c r="G1194" t="s">
        <v>100</v>
      </c>
      <c r="H1194" t="s">
        <v>5813</v>
      </c>
      <c r="I1194" t="s">
        <v>5814</v>
      </c>
      <c r="J1194" t="s">
        <v>26</v>
      </c>
      <c r="K1194" t="s">
        <v>27</v>
      </c>
      <c r="L1194" t="b">
        <v>1</v>
      </c>
      <c r="M1194" t="s">
        <v>5815</v>
      </c>
      <c r="N1194" t="str">
        <f>"491.80456"</f>
        <v>491.80456</v>
      </c>
      <c r="O1194" t="s">
        <v>5816</v>
      </c>
      <c r="P1194" t="b">
        <v>0</v>
      </c>
      <c r="R1194" t="str">
        <f>"9781614512370"</f>
        <v>9781614512370</v>
      </c>
      <c r="S1194" t="str">
        <f>"9781614511816"</f>
        <v>9781614511816</v>
      </c>
      <c r="T1194">
        <v>870589947</v>
      </c>
    </row>
    <row r="1195" spans="1:20" x14ac:dyDescent="0.25">
      <c r="A1195">
        <v>698977</v>
      </c>
      <c r="B1195" t="s">
        <v>5817</v>
      </c>
      <c r="C1195" t="s">
        <v>1501</v>
      </c>
      <c r="D1195" t="s">
        <v>255</v>
      </c>
      <c r="E1195" t="s">
        <v>256</v>
      </c>
      <c r="F1195">
        <v>2014</v>
      </c>
      <c r="G1195" t="s">
        <v>712</v>
      </c>
      <c r="H1195" t="s">
        <v>5818</v>
      </c>
      <c r="I1195" t="s">
        <v>5819</v>
      </c>
      <c r="J1195" t="s">
        <v>26</v>
      </c>
      <c r="K1195" t="s">
        <v>86</v>
      </c>
      <c r="L1195" t="b">
        <v>1</v>
      </c>
      <c r="M1195" t="s">
        <v>5820</v>
      </c>
      <c r="N1195" t="str">
        <f>"362.11099336"</f>
        <v>362.11099336</v>
      </c>
      <c r="P1195" t="b">
        <v>0</v>
      </c>
      <c r="S1195" t="str">
        <f>"9781775587262"</f>
        <v>9781775587262</v>
      </c>
      <c r="T1195">
        <v>870868025</v>
      </c>
    </row>
    <row r="1196" spans="1:20" x14ac:dyDescent="0.25">
      <c r="A1196">
        <v>696501</v>
      </c>
      <c r="B1196" t="s">
        <v>5821</v>
      </c>
      <c r="C1196" t="s">
        <v>5822</v>
      </c>
      <c r="D1196" t="s">
        <v>98</v>
      </c>
      <c r="E1196" t="s">
        <v>99</v>
      </c>
      <c r="F1196">
        <v>2014</v>
      </c>
      <c r="G1196" t="s">
        <v>5823</v>
      </c>
      <c r="H1196" t="s">
        <v>5824</v>
      </c>
      <c r="I1196" t="s">
        <v>5825</v>
      </c>
      <c r="J1196" t="s">
        <v>26</v>
      </c>
      <c r="K1196" t="s">
        <v>27</v>
      </c>
      <c r="L1196" t="b">
        <v>1</v>
      </c>
      <c r="M1196" t="s">
        <v>5826</v>
      </c>
      <c r="N1196" t="str">
        <f>"579.17"</f>
        <v>579.17</v>
      </c>
      <c r="P1196" t="b">
        <v>0</v>
      </c>
      <c r="R1196" t="str">
        <f>"9780199665938"</f>
        <v>9780199665938</v>
      </c>
      <c r="S1196" t="str">
        <f>"9780191643743"</f>
        <v>9780191643743</v>
      </c>
      <c r="T1196">
        <v>874156775</v>
      </c>
    </row>
    <row r="1197" spans="1:20" x14ac:dyDescent="0.25">
      <c r="A1197">
        <v>694178</v>
      </c>
      <c r="B1197" t="s">
        <v>5827</v>
      </c>
      <c r="D1197" t="s">
        <v>5828</v>
      </c>
      <c r="E1197" t="s">
        <v>99</v>
      </c>
      <c r="F1197">
        <v>2010</v>
      </c>
      <c r="G1197" t="s">
        <v>4275</v>
      </c>
      <c r="H1197" t="s">
        <v>5829</v>
      </c>
      <c r="I1197" t="s">
        <v>5830</v>
      </c>
      <c r="J1197" t="s">
        <v>26</v>
      </c>
      <c r="K1197" t="s">
        <v>27</v>
      </c>
      <c r="L1197" t="b">
        <v>1</v>
      </c>
      <c r="M1197" t="s">
        <v>5831</v>
      </c>
      <c r="N1197" t="str">
        <f>"617.4/8"</f>
        <v>617.4/8</v>
      </c>
      <c r="P1197" t="b">
        <v>0</v>
      </c>
      <c r="R1197" t="str">
        <f>"9780199591251"</f>
        <v>9780199591251</v>
      </c>
      <c r="S1197" t="str">
        <f>"9780191029462"</f>
        <v>9780191029462</v>
      </c>
      <c r="T1197">
        <v>869736189</v>
      </c>
    </row>
    <row r="1198" spans="1:20" x14ac:dyDescent="0.25">
      <c r="A1198">
        <v>686683</v>
      </c>
      <c r="B1198" t="s">
        <v>5832</v>
      </c>
      <c r="C1198" t="s">
        <v>5833</v>
      </c>
      <c r="D1198" t="s">
        <v>5242</v>
      </c>
      <c r="E1198" t="s">
        <v>5834</v>
      </c>
      <c r="F1198">
        <v>2013</v>
      </c>
      <c r="G1198" t="s">
        <v>2203</v>
      </c>
      <c r="H1198" t="s">
        <v>5835</v>
      </c>
      <c r="I1198" t="s">
        <v>5836</v>
      </c>
      <c r="J1198" t="s">
        <v>26</v>
      </c>
      <c r="K1198" t="s">
        <v>27</v>
      </c>
      <c r="L1198" t="b">
        <v>1</v>
      </c>
      <c r="M1198" t="s">
        <v>5837</v>
      </c>
      <c r="N1198" t="str">
        <f>"823.9208"</f>
        <v>823.9208</v>
      </c>
      <c r="P1198" t="b">
        <v>1</v>
      </c>
      <c r="R1198" t="str">
        <f>"9781920590338"</f>
        <v>9781920590338</v>
      </c>
      <c r="S1198" t="str">
        <f>"9781920590635"</f>
        <v>9781920590635</v>
      </c>
      <c r="T1198">
        <v>868580455</v>
      </c>
    </row>
    <row r="1199" spans="1:20" x14ac:dyDescent="0.25">
      <c r="A1199">
        <v>683608</v>
      </c>
      <c r="B1199" t="s">
        <v>5838</v>
      </c>
      <c r="C1199" t="s">
        <v>5839</v>
      </c>
      <c r="D1199" t="s">
        <v>131</v>
      </c>
      <c r="E1199" t="s">
        <v>3785</v>
      </c>
      <c r="F1199">
        <v>2014</v>
      </c>
      <c r="G1199" t="s">
        <v>283</v>
      </c>
      <c r="H1199" t="s">
        <v>5840</v>
      </c>
      <c r="I1199" t="s">
        <v>5841</v>
      </c>
      <c r="J1199" t="s">
        <v>26</v>
      </c>
      <c r="K1199" t="s">
        <v>48</v>
      </c>
      <c r="L1199" t="b">
        <v>1</v>
      </c>
      <c r="M1199" t="s">
        <v>5842</v>
      </c>
      <c r="N1199" t="str">
        <f>"818.603;818/.603"</f>
        <v>818.603;818/.603</v>
      </c>
      <c r="P1199" t="b">
        <v>0</v>
      </c>
      <c r="R1199" t="str">
        <f>"9781566569248"</f>
        <v>9781566569248</v>
      </c>
      <c r="S1199" t="str">
        <f>"9781623710422"</f>
        <v>9781623710422</v>
      </c>
      <c r="T1199">
        <v>865331362</v>
      </c>
    </row>
    <row r="1200" spans="1:20" x14ac:dyDescent="0.25">
      <c r="A1200">
        <v>683258</v>
      </c>
      <c r="B1200" t="s">
        <v>5843</v>
      </c>
      <c r="D1200" t="s">
        <v>131</v>
      </c>
      <c r="E1200" t="s">
        <v>5844</v>
      </c>
      <c r="F1200">
        <v>2011</v>
      </c>
      <c r="G1200" t="s">
        <v>804</v>
      </c>
      <c r="H1200" t="s">
        <v>5845</v>
      </c>
      <c r="I1200" t="s">
        <v>5846</v>
      </c>
      <c r="J1200" t="s">
        <v>26</v>
      </c>
      <c r="K1200" t="s">
        <v>86</v>
      </c>
      <c r="L1200" t="b">
        <v>1</v>
      </c>
      <c r="M1200" t="s">
        <v>5847</v>
      </c>
      <c r="N1200" t="str">
        <f>"615.7827"</f>
        <v>615.7827</v>
      </c>
      <c r="P1200" t="b">
        <v>0</v>
      </c>
      <c r="Q1200" t="b">
        <v>0</v>
      </c>
      <c r="R1200" t="str">
        <f>"9780932551931"</f>
        <v>9780932551931</v>
      </c>
      <c r="S1200" t="str">
        <f>"9781936807154"</f>
        <v>9781936807154</v>
      </c>
      <c r="T1200">
        <v>868956644</v>
      </c>
    </row>
    <row r="1201" spans="1:20" x14ac:dyDescent="0.25">
      <c r="A1201">
        <v>683184</v>
      </c>
      <c r="B1201" t="s">
        <v>5848</v>
      </c>
      <c r="C1201" t="s">
        <v>5849</v>
      </c>
      <c r="D1201" t="s">
        <v>131</v>
      </c>
      <c r="E1201" t="s">
        <v>276</v>
      </c>
      <c r="F1201">
        <v>2014</v>
      </c>
      <c r="G1201" t="s">
        <v>5850</v>
      </c>
      <c r="H1201" t="s">
        <v>5851</v>
      </c>
      <c r="I1201" t="s">
        <v>5852</v>
      </c>
      <c r="J1201" t="s">
        <v>26</v>
      </c>
      <c r="K1201" t="s">
        <v>86</v>
      </c>
      <c r="L1201" t="b">
        <v>1</v>
      </c>
      <c r="M1201" t="s">
        <v>5853</v>
      </c>
      <c r="N1201" t="str">
        <f>"813/.54"</f>
        <v>813/.54</v>
      </c>
      <c r="P1201" t="b">
        <v>1</v>
      </c>
      <c r="R1201" t="str">
        <f>"9781595341846"</f>
        <v>9781595341846</v>
      </c>
      <c r="S1201" t="str">
        <f>"9781595341020"</f>
        <v>9781595341020</v>
      </c>
      <c r="T1201">
        <v>868925028</v>
      </c>
    </row>
    <row r="1202" spans="1:20" x14ac:dyDescent="0.25">
      <c r="A1202">
        <v>683072</v>
      </c>
      <c r="B1202" t="s">
        <v>5854</v>
      </c>
      <c r="C1202" t="s">
        <v>5855</v>
      </c>
      <c r="D1202" t="s">
        <v>5856</v>
      </c>
      <c r="E1202" t="s">
        <v>5857</v>
      </c>
      <c r="F1202">
        <v>2006</v>
      </c>
      <c r="G1202" t="s">
        <v>4378</v>
      </c>
      <c r="H1202" t="s">
        <v>5858</v>
      </c>
      <c r="I1202" t="s">
        <v>5859</v>
      </c>
      <c r="J1202" t="s">
        <v>26</v>
      </c>
      <c r="K1202" t="s">
        <v>86</v>
      </c>
      <c r="L1202" t="b">
        <v>1</v>
      </c>
      <c r="M1202" t="s">
        <v>5860</v>
      </c>
      <c r="N1202" t="str">
        <f>"149/.2"</f>
        <v>149/.2</v>
      </c>
      <c r="O1202" t="s">
        <v>5861</v>
      </c>
      <c r="P1202" t="b">
        <v>0</v>
      </c>
      <c r="Q1202" t="b">
        <v>0</v>
      </c>
      <c r="R1202" t="str">
        <f>"9780802090751"</f>
        <v>9780802090751</v>
      </c>
      <c r="S1202" t="str">
        <f>"9781442672857"</f>
        <v>9781442672857</v>
      </c>
      <c r="T1202">
        <v>244767859</v>
      </c>
    </row>
    <row r="1203" spans="1:20" x14ac:dyDescent="0.25">
      <c r="A1203">
        <v>683061</v>
      </c>
      <c r="B1203" t="s">
        <v>5862</v>
      </c>
      <c r="D1203" t="s">
        <v>131</v>
      </c>
      <c r="E1203" t="s">
        <v>5863</v>
      </c>
      <c r="F1203">
        <v>1997</v>
      </c>
      <c r="G1203" t="s">
        <v>546</v>
      </c>
      <c r="H1203" t="s">
        <v>5864</v>
      </c>
      <c r="I1203" t="s">
        <v>5865</v>
      </c>
      <c r="J1203" t="s">
        <v>26</v>
      </c>
      <c r="K1203" t="s">
        <v>86</v>
      </c>
      <c r="L1203" t="b">
        <v>1</v>
      </c>
      <c r="M1203" t="s">
        <v>5866</v>
      </c>
      <c r="N1203" t="str">
        <f>"843/.912"</f>
        <v>843/.912</v>
      </c>
      <c r="P1203" t="b">
        <v>0</v>
      </c>
      <c r="R1203" t="str">
        <f>"9783927258068"</f>
        <v>9783927258068</v>
      </c>
      <c r="S1203" t="str">
        <f>"9781584235347"</f>
        <v>9781584235347</v>
      </c>
      <c r="T1203">
        <v>896847158</v>
      </c>
    </row>
    <row r="1204" spans="1:20" x14ac:dyDescent="0.25">
      <c r="A1204">
        <v>682292</v>
      </c>
      <c r="B1204" t="s">
        <v>5867</v>
      </c>
      <c r="D1204" t="s">
        <v>5856</v>
      </c>
      <c r="E1204" t="s">
        <v>5857</v>
      </c>
      <c r="F1204">
        <v>1992</v>
      </c>
      <c r="G1204" t="s">
        <v>5868</v>
      </c>
      <c r="H1204" t="s">
        <v>5869</v>
      </c>
      <c r="I1204" t="s">
        <v>5870</v>
      </c>
      <c r="J1204" t="s">
        <v>26</v>
      </c>
      <c r="K1204" t="s">
        <v>27</v>
      </c>
      <c r="L1204" t="b">
        <v>1</v>
      </c>
      <c r="M1204" t="s">
        <v>5871</v>
      </c>
      <c r="N1204" t="str">
        <f>"821./3"</f>
        <v>821./3</v>
      </c>
      <c r="P1204" t="b">
        <v>0</v>
      </c>
      <c r="Q1204" t="b">
        <v>0</v>
      </c>
      <c r="R1204" t="str">
        <f>"9780802026767"</f>
        <v>9780802026767</v>
      </c>
      <c r="S1204" t="str">
        <f>"9781442680104"</f>
        <v>9781442680104</v>
      </c>
      <c r="T1204">
        <v>1037979077</v>
      </c>
    </row>
    <row r="1205" spans="1:20" x14ac:dyDescent="0.25">
      <c r="A1205">
        <v>682210</v>
      </c>
      <c r="B1205" t="s">
        <v>5872</v>
      </c>
      <c r="C1205" t="s">
        <v>5712</v>
      </c>
      <c r="D1205" t="s">
        <v>131</v>
      </c>
      <c r="E1205" t="s">
        <v>5873</v>
      </c>
      <c r="F1205">
        <v>2013</v>
      </c>
      <c r="G1205" t="s">
        <v>283</v>
      </c>
      <c r="H1205" t="s">
        <v>5874</v>
      </c>
      <c r="I1205" t="s">
        <v>5875</v>
      </c>
      <c r="J1205" t="s">
        <v>26</v>
      </c>
      <c r="K1205" t="s">
        <v>86</v>
      </c>
      <c r="L1205" t="b">
        <v>1</v>
      </c>
      <c r="M1205" t="s">
        <v>5876</v>
      </c>
      <c r="N1205" t="str">
        <f>"814/.6;B"</f>
        <v>814/.6;B</v>
      </c>
      <c r="P1205" t="b">
        <v>0</v>
      </c>
      <c r="R1205" t="str">
        <f>"9780983477549"</f>
        <v>9780983477549</v>
      </c>
      <c r="S1205" t="str">
        <f>"9780986000775"</f>
        <v>9780986000775</v>
      </c>
      <c r="T1205">
        <v>868925052</v>
      </c>
    </row>
    <row r="1206" spans="1:20" x14ac:dyDescent="0.25">
      <c r="A1206">
        <v>681488</v>
      </c>
      <c r="B1206" t="s">
        <v>5877</v>
      </c>
      <c r="C1206" t="s">
        <v>5878</v>
      </c>
      <c r="D1206" t="s">
        <v>5731</v>
      </c>
      <c r="E1206" t="s">
        <v>5502</v>
      </c>
      <c r="F1206">
        <v>2014</v>
      </c>
      <c r="G1206" t="s">
        <v>5879</v>
      </c>
      <c r="H1206" t="s">
        <v>5880</v>
      </c>
      <c r="I1206" t="s">
        <v>5881</v>
      </c>
      <c r="J1206" t="s">
        <v>26</v>
      </c>
      <c r="K1206" t="s">
        <v>86</v>
      </c>
      <c r="L1206" t="b">
        <v>1</v>
      </c>
      <c r="M1206" t="s">
        <v>5882</v>
      </c>
      <c r="N1206" t="str">
        <f>"303.6/6"</f>
        <v>303.6/6</v>
      </c>
      <c r="P1206" t="b">
        <v>0</v>
      </c>
      <c r="R1206" t="str">
        <f>"9781442221512"</f>
        <v>9781442221512</v>
      </c>
      <c r="S1206" t="str">
        <f>"9781442221529"</f>
        <v>9781442221529</v>
      </c>
      <c r="T1206">
        <v>867050026</v>
      </c>
    </row>
    <row r="1207" spans="1:20" x14ac:dyDescent="0.25">
      <c r="A1207">
        <v>678289</v>
      </c>
      <c r="B1207" t="s">
        <v>5883</v>
      </c>
      <c r="D1207" t="s">
        <v>98</v>
      </c>
      <c r="E1207" t="s">
        <v>99</v>
      </c>
      <c r="F1207">
        <v>2010</v>
      </c>
      <c r="G1207" t="s">
        <v>5884</v>
      </c>
      <c r="H1207" t="s">
        <v>5885</v>
      </c>
      <c r="I1207" t="s">
        <v>5886</v>
      </c>
      <c r="J1207" t="s">
        <v>26</v>
      </c>
      <c r="K1207" t="s">
        <v>27</v>
      </c>
      <c r="L1207" t="b">
        <v>1</v>
      </c>
      <c r="M1207" t="s">
        <v>5887</v>
      </c>
      <c r="N1207" t="str">
        <f>"614.40711"</f>
        <v>614.40711</v>
      </c>
      <c r="P1207" t="b">
        <v>0</v>
      </c>
      <c r="R1207" t="str">
        <f>"9780199239474"</f>
        <v>9780199239474</v>
      </c>
      <c r="S1207" t="str">
        <f>"9780191575396"</f>
        <v>9780191575396</v>
      </c>
      <c r="T1207">
        <v>867050398</v>
      </c>
    </row>
    <row r="1208" spans="1:20" x14ac:dyDescent="0.25">
      <c r="A1208">
        <v>678113</v>
      </c>
      <c r="B1208" t="s">
        <v>5888</v>
      </c>
      <c r="D1208" t="s">
        <v>98</v>
      </c>
      <c r="E1208" t="s">
        <v>99</v>
      </c>
      <c r="F1208">
        <v>2011</v>
      </c>
      <c r="G1208" t="s">
        <v>5889</v>
      </c>
      <c r="H1208" t="s">
        <v>5890</v>
      </c>
      <c r="I1208" t="s">
        <v>5891</v>
      </c>
      <c r="J1208" t="s">
        <v>26</v>
      </c>
      <c r="K1208" t="s">
        <v>27</v>
      </c>
      <c r="L1208" t="b">
        <v>1</v>
      </c>
      <c r="M1208" t="s">
        <v>5892</v>
      </c>
      <c r="N1208" t="str">
        <f>"616.89/8"</f>
        <v>616.89/8</v>
      </c>
      <c r="O1208" t="s">
        <v>5893</v>
      </c>
      <c r="P1208" t="b">
        <v>0</v>
      </c>
      <c r="R1208" t="str">
        <f>"9780199600915"</f>
        <v>9780199600915</v>
      </c>
      <c r="S1208" t="str">
        <f>"9780191628825"</f>
        <v>9780191628825</v>
      </c>
      <c r="T1208">
        <v>867050220</v>
      </c>
    </row>
    <row r="1209" spans="1:20" x14ac:dyDescent="0.25">
      <c r="A1209">
        <v>675774</v>
      </c>
      <c r="B1209" t="s">
        <v>5894</v>
      </c>
      <c r="D1209" t="s">
        <v>874</v>
      </c>
      <c r="E1209" t="s">
        <v>875</v>
      </c>
      <c r="F1209">
        <v>2011</v>
      </c>
      <c r="G1209" t="s">
        <v>5299</v>
      </c>
      <c r="H1209" t="s">
        <v>5895</v>
      </c>
      <c r="I1209" t="s">
        <v>5896</v>
      </c>
      <c r="J1209" t="s">
        <v>26</v>
      </c>
      <c r="K1209" t="s">
        <v>27</v>
      </c>
      <c r="L1209" t="b">
        <v>1</v>
      </c>
      <c r="M1209" t="s">
        <v>5897</v>
      </c>
      <c r="N1209" t="str">
        <f>"618.92/09789"</f>
        <v>618.92/09789</v>
      </c>
      <c r="P1209" t="b">
        <v>0</v>
      </c>
      <c r="Q1209" t="b">
        <v>0</v>
      </c>
      <c r="R1209" t="str">
        <f>"9781597562454"</f>
        <v>9781597562454</v>
      </c>
      <c r="S1209" t="str">
        <f>"9781597565776"</f>
        <v>9781597565776</v>
      </c>
      <c r="T1209">
        <v>865509068</v>
      </c>
    </row>
    <row r="1210" spans="1:20" x14ac:dyDescent="0.25">
      <c r="A1210">
        <v>675770</v>
      </c>
      <c r="B1210" t="s">
        <v>5898</v>
      </c>
      <c r="C1210" t="s">
        <v>5899</v>
      </c>
      <c r="D1210" t="s">
        <v>874</v>
      </c>
      <c r="E1210" t="s">
        <v>875</v>
      </c>
      <c r="F1210">
        <v>2013</v>
      </c>
      <c r="G1210" t="s">
        <v>4275</v>
      </c>
      <c r="H1210" t="s">
        <v>5900</v>
      </c>
      <c r="I1210" t="s">
        <v>5901</v>
      </c>
      <c r="J1210" t="s">
        <v>26</v>
      </c>
      <c r="K1210" t="s">
        <v>27</v>
      </c>
      <c r="L1210" t="b">
        <v>1</v>
      </c>
      <c r="M1210" t="s">
        <v>5902</v>
      </c>
      <c r="N1210" t="str">
        <f>"617.8"</f>
        <v>617.8</v>
      </c>
      <c r="P1210" t="b">
        <v>0</v>
      </c>
      <c r="Q1210" t="b">
        <v>0</v>
      </c>
      <c r="R1210" t="str">
        <f>"9781597564953"</f>
        <v>9781597564953</v>
      </c>
      <c r="S1210" t="str">
        <f>"9781597565875"</f>
        <v>9781597565875</v>
      </c>
      <c r="T1210">
        <v>865508817</v>
      </c>
    </row>
    <row r="1211" spans="1:20" x14ac:dyDescent="0.25">
      <c r="A1211">
        <v>673853</v>
      </c>
      <c r="B1211" t="s">
        <v>5903</v>
      </c>
      <c r="C1211" t="s">
        <v>5904</v>
      </c>
      <c r="D1211" t="s">
        <v>255</v>
      </c>
      <c r="E1211" t="s">
        <v>256</v>
      </c>
      <c r="F1211">
        <v>2011</v>
      </c>
      <c r="G1211" t="s">
        <v>5905</v>
      </c>
      <c r="H1211" t="s">
        <v>5906</v>
      </c>
      <c r="I1211" t="s">
        <v>5907</v>
      </c>
      <c r="J1211" t="s">
        <v>5908</v>
      </c>
      <c r="K1211" t="s">
        <v>86</v>
      </c>
      <c r="L1211" t="b">
        <v>1</v>
      </c>
      <c r="M1211" t="s">
        <v>5909</v>
      </c>
      <c r="N1211" t="str">
        <f>"782.4216299442"</f>
        <v>782.4216299442</v>
      </c>
      <c r="O1211" t="s">
        <v>5910</v>
      </c>
      <c r="P1211" t="b">
        <v>0</v>
      </c>
      <c r="S1211" t="str">
        <f>"9781775585978"</f>
        <v>9781775585978</v>
      </c>
      <c r="T1211">
        <v>865509003</v>
      </c>
    </row>
    <row r="1212" spans="1:20" x14ac:dyDescent="0.25">
      <c r="A1212">
        <v>673850</v>
      </c>
      <c r="B1212" t="s">
        <v>5911</v>
      </c>
      <c r="C1212" t="s">
        <v>5912</v>
      </c>
      <c r="D1212" t="s">
        <v>255</v>
      </c>
      <c r="E1212" t="s">
        <v>256</v>
      </c>
      <c r="F1212">
        <v>2003</v>
      </c>
      <c r="G1212" t="s">
        <v>1026</v>
      </c>
      <c r="H1212" t="s">
        <v>5913</v>
      </c>
      <c r="I1212" t="s">
        <v>5914</v>
      </c>
      <c r="J1212" t="s">
        <v>26</v>
      </c>
      <c r="K1212" t="s">
        <v>86</v>
      </c>
      <c r="L1212" t="b">
        <v>1</v>
      </c>
      <c r="M1212" t="s">
        <v>5915</v>
      </c>
      <c r="N1212" t="str">
        <f>"823/.912"</f>
        <v>823/.912</v>
      </c>
      <c r="P1212" t="b">
        <v>0</v>
      </c>
      <c r="S1212" t="str">
        <f>"9781775585053"</f>
        <v>9781775585053</v>
      </c>
      <c r="T1212">
        <v>865509078</v>
      </c>
    </row>
    <row r="1213" spans="1:20" x14ac:dyDescent="0.25">
      <c r="A1213">
        <v>673849</v>
      </c>
      <c r="B1213" t="s">
        <v>5916</v>
      </c>
      <c r="C1213" t="s">
        <v>5917</v>
      </c>
      <c r="D1213" t="s">
        <v>255</v>
      </c>
      <c r="E1213" t="s">
        <v>256</v>
      </c>
      <c r="F1213">
        <v>2007</v>
      </c>
      <c r="G1213" t="s">
        <v>712</v>
      </c>
      <c r="H1213" t="s">
        <v>5918</v>
      </c>
      <c r="I1213" t="s">
        <v>5919</v>
      </c>
      <c r="J1213" t="s">
        <v>26</v>
      </c>
      <c r="K1213" t="s">
        <v>86</v>
      </c>
      <c r="L1213" t="b">
        <v>1</v>
      </c>
      <c r="M1213" t="s">
        <v>5920</v>
      </c>
      <c r="N1213" t="str">
        <f>"306.850993/09043"</f>
        <v>306.850993/09043</v>
      </c>
      <c r="P1213" t="b">
        <v>0</v>
      </c>
      <c r="S1213" t="str">
        <f>"9781775586562"</f>
        <v>9781775586562</v>
      </c>
      <c r="T1213">
        <v>865508999</v>
      </c>
    </row>
    <row r="1214" spans="1:20" x14ac:dyDescent="0.25">
      <c r="A1214">
        <v>673847</v>
      </c>
      <c r="B1214" t="s">
        <v>5921</v>
      </c>
      <c r="D1214" t="s">
        <v>255</v>
      </c>
      <c r="E1214" t="s">
        <v>256</v>
      </c>
      <c r="F1214">
        <v>2012</v>
      </c>
      <c r="G1214" t="s">
        <v>2301</v>
      </c>
      <c r="H1214" t="s">
        <v>2326</v>
      </c>
      <c r="I1214" t="s">
        <v>2312</v>
      </c>
      <c r="J1214" t="s">
        <v>26</v>
      </c>
      <c r="K1214" t="s">
        <v>86</v>
      </c>
      <c r="L1214" t="b">
        <v>1</v>
      </c>
      <c r="M1214" t="s">
        <v>5922</v>
      </c>
      <c r="N1214" t="str">
        <f>"821"</f>
        <v>821</v>
      </c>
      <c r="P1214" t="b">
        <v>0</v>
      </c>
      <c r="S1214" t="str">
        <f>"9781775585107"</f>
        <v>9781775585107</v>
      </c>
      <c r="T1214">
        <v>880848699</v>
      </c>
    </row>
    <row r="1215" spans="1:20" x14ac:dyDescent="0.25">
      <c r="A1215">
        <v>673846</v>
      </c>
      <c r="B1215" t="s">
        <v>5923</v>
      </c>
      <c r="C1215" t="s">
        <v>5924</v>
      </c>
      <c r="D1215" t="s">
        <v>255</v>
      </c>
      <c r="E1215" t="s">
        <v>256</v>
      </c>
      <c r="F1215">
        <v>2009</v>
      </c>
      <c r="G1215" t="s">
        <v>2301</v>
      </c>
      <c r="H1215" t="s">
        <v>5925</v>
      </c>
      <c r="I1215" t="s">
        <v>2303</v>
      </c>
      <c r="J1215" t="s">
        <v>26</v>
      </c>
      <c r="K1215" t="s">
        <v>86</v>
      </c>
      <c r="L1215" t="b">
        <v>1</v>
      </c>
      <c r="M1215" t="s">
        <v>5926</v>
      </c>
      <c r="N1215" t="str">
        <f>"821/.914"</f>
        <v>821/.914</v>
      </c>
      <c r="P1215" t="b">
        <v>0</v>
      </c>
      <c r="S1215" t="str">
        <f>"9781775585039"</f>
        <v>9781775585039</v>
      </c>
      <c r="T1215">
        <v>865509083</v>
      </c>
    </row>
    <row r="1216" spans="1:20" x14ac:dyDescent="0.25">
      <c r="A1216">
        <v>673843</v>
      </c>
      <c r="B1216" t="s">
        <v>5927</v>
      </c>
      <c r="D1216" t="s">
        <v>255</v>
      </c>
      <c r="E1216" t="s">
        <v>256</v>
      </c>
      <c r="F1216">
        <v>2011</v>
      </c>
      <c r="G1216" t="s">
        <v>2301</v>
      </c>
      <c r="H1216" t="s">
        <v>5928</v>
      </c>
      <c r="I1216" t="s">
        <v>2303</v>
      </c>
      <c r="J1216" t="s">
        <v>26</v>
      </c>
      <c r="K1216" t="s">
        <v>86</v>
      </c>
      <c r="L1216" t="b">
        <v>1</v>
      </c>
      <c r="M1216" t="s">
        <v>5929</v>
      </c>
      <c r="N1216" t="str">
        <f>"NZ821.3"</f>
        <v>NZ821.3</v>
      </c>
      <c r="O1216" t="s">
        <v>5930</v>
      </c>
      <c r="P1216" t="b">
        <v>0</v>
      </c>
      <c r="S1216" t="str">
        <f>"9781775585084"</f>
        <v>9781775585084</v>
      </c>
      <c r="T1216">
        <v>878958748</v>
      </c>
    </row>
    <row r="1217" spans="1:20" x14ac:dyDescent="0.25">
      <c r="A1217">
        <v>673842</v>
      </c>
      <c r="B1217" t="s">
        <v>5931</v>
      </c>
      <c r="C1217" t="s">
        <v>5932</v>
      </c>
      <c r="D1217" t="s">
        <v>255</v>
      </c>
      <c r="E1217" t="s">
        <v>256</v>
      </c>
      <c r="F1217">
        <v>2010</v>
      </c>
      <c r="G1217" t="s">
        <v>5933</v>
      </c>
      <c r="H1217" t="s">
        <v>5934</v>
      </c>
      <c r="I1217" t="s">
        <v>1474</v>
      </c>
      <c r="J1217" t="s">
        <v>26</v>
      </c>
      <c r="K1217" t="s">
        <v>86</v>
      </c>
      <c r="L1217" t="b">
        <v>1</v>
      </c>
      <c r="M1217" t="s">
        <v>5595</v>
      </c>
      <c r="N1217" t="str">
        <f>"808.59"</f>
        <v>808.59</v>
      </c>
      <c r="P1217" t="b">
        <v>0</v>
      </c>
      <c r="S1217" t="str">
        <f>"9781775586982"</f>
        <v>9781775586982</v>
      </c>
      <c r="T1217">
        <v>865330692</v>
      </c>
    </row>
    <row r="1218" spans="1:20" x14ac:dyDescent="0.25">
      <c r="A1218">
        <v>673841</v>
      </c>
      <c r="B1218" t="s">
        <v>5935</v>
      </c>
      <c r="C1218" t="s">
        <v>5936</v>
      </c>
      <c r="D1218" t="s">
        <v>255</v>
      </c>
      <c r="E1218" t="s">
        <v>256</v>
      </c>
      <c r="F1218">
        <v>2012</v>
      </c>
      <c r="G1218" t="s">
        <v>5937</v>
      </c>
      <c r="H1218" t="s">
        <v>5938</v>
      </c>
      <c r="I1218" t="s">
        <v>5939</v>
      </c>
      <c r="J1218" t="s">
        <v>26</v>
      </c>
      <c r="K1218" t="s">
        <v>86</v>
      </c>
      <c r="L1218" t="b">
        <v>1</v>
      </c>
      <c r="M1218" t="s">
        <v>5940</v>
      </c>
      <c r="N1218" t="str">
        <f>"610.696"</f>
        <v>610.696</v>
      </c>
      <c r="P1218" t="b">
        <v>0</v>
      </c>
      <c r="S1218" t="str">
        <f>"9781775586470"</f>
        <v>9781775586470</v>
      </c>
      <c r="T1218">
        <v>865509032</v>
      </c>
    </row>
    <row r="1219" spans="1:20" x14ac:dyDescent="0.25">
      <c r="A1219">
        <v>673840</v>
      </c>
      <c r="B1219" t="s">
        <v>5941</v>
      </c>
      <c r="D1219" t="s">
        <v>255</v>
      </c>
      <c r="E1219" t="s">
        <v>256</v>
      </c>
      <c r="F1219">
        <v>2010</v>
      </c>
      <c r="G1219" t="s">
        <v>2301</v>
      </c>
      <c r="H1219" t="s">
        <v>5942</v>
      </c>
      <c r="I1219" t="s">
        <v>5943</v>
      </c>
      <c r="J1219" t="s">
        <v>26</v>
      </c>
      <c r="K1219" t="s">
        <v>86</v>
      </c>
      <c r="L1219" t="b">
        <v>1</v>
      </c>
      <c r="M1219" t="s">
        <v>5625</v>
      </c>
      <c r="N1219" t="str">
        <f>"821;821.92"</f>
        <v>821;821.92</v>
      </c>
      <c r="P1219" t="b">
        <v>0</v>
      </c>
      <c r="S1219" t="str">
        <f>"9781775586173"</f>
        <v>9781775586173</v>
      </c>
      <c r="T1219">
        <v>863821894</v>
      </c>
    </row>
    <row r="1220" spans="1:20" x14ac:dyDescent="0.25">
      <c r="A1220">
        <v>673837</v>
      </c>
      <c r="B1220" t="s">
        <v>5944</v>
      </c>
      <c r="D1220" t="s">
        <v>255</v>
      </c>
      <c r="E1220" t="s">
        <v>256</v>
      </c>
      <c r="F1220">
        <v>2005</v>
      </c>
      <c r="G1220" t="s">
        <v>2301</v>
      </c>
      <c r="H1220" t="s">
        <v>5945</v>
      </c>
      <c r="I1220" t="s">
        <v>2303</v>
      </c>
      <c r="J1220" t="s">
        <v>26</v>
      </c>
      <c r="K1220" t="s">
        <v>86</v>
      </c>
      <c r="L1220" t="b">
        <v>1</v>
      </c>
      <c r="M1220" t="s">
        <v>5604</v>
      </c>
      <c r="N1220" t="str">
        <f>"821/.914"</f>
        <v>821/.914</v>
      </c>
      <c r="P1220" t="b">
        <v>0</v>
      </c>
      <c r="S1220" t="str">
        <f>"9781775585930"</f>
        <v>9781775585930</v>
      </c>
      <c r="T1220">
        <v>865509098</v>
      </c>
    </row>
    <row r="1221" spans="1:20" x14ac:dyDescent="0.25">
      <c r="A1221">
        <v>673836</v>
      </c>
      <c r="B1221" t="s">
        <v>5946</v>
      </c>
      <c r="C1221" t="s">
        <v>5947</v>
      </c>
      <c r="D1221" t="s">
        <v>255</v>
      </c>
      <c r="E1221" t="s">
        <v>256</v>
      </c>
      <c r="F1221">
        <v>2001</v>
      </c>
      <c r="G1221" t="s">
        <v>283</v>
      </c>
      <c r="H1221" t="s">
        <v>5948</v>
      </c>
      <c r="I1221" t="s">
        <v>5949</v>
      </c>
      <c r="J1221" t="s">
        <v>26</v>
      </c>
      <c r="K1221" t="s">
        <v>86</v>
      </c>
      <c r="L1221" t="b">
        <v>1</v>
      </c>
      <c r="M1221" t="s">
        <v>5950</v>
      </c>
      <c r="N1221" t="str">
        <f>"362.19612092"</f>
        <v>362.19612092</v>
      </c>
      <c r="P1221" t="b">
        <v>0</v>
      </c>
      <c r="S1221" t="str">
        <f>"9781775586722"</f>
        <v>9781775586722</v>
      </c>
      <c r="T1221">
        <v>865509077</v>
      </c>
    </row>
    <row r="1222" spans="1:20" x14ac:dyDescent="0.25">
      <c r="A1222">
        <v>673834</v>
      </c>
      <c r="B1222" t="s">
        <v>5951</v>
      </c>
      <c r="D1222" t="s">
        <v>255</v>
      </c>
      <c r="E1222" t="s">
        <v>256</v>
      </c>
      <c r="F1222">
        <v>2012</v>
      </c>
      <c r="G1222" t="s">
        <v>2301</v>
      </c>
      <c r="H1222" t="s">
        <v>5952</v>
      </c>
      <c r="I1222" t="s">
        <v>5953</v>
      </c>
      <c r="J1222" t="s">
        <v>26</v>
      </c>
      <c r="K1222" t="s">
        <v>86</v>
      </c>
      <c r="L1222" t="b">
        <v>1</v>
      </c>
      <c r="M1222" t="s">
        <v>5633</v>
      </c>
      <c r="N1222" t="str">
        <f>"NZ821.3"</f>
        <v>NZ821.3</v>
      </c>
      <c r="P1222" t="b">
        <v>0</v>
      </c>
      <c r="S1222" t="str">
        <f>"9781775586395"</f>
        <v>9781775586395</v>
      </c>
      <c r="T1222">
        <v>865508863</v>
      </c>
    </row>
    <row r="1223" spans="1:20" x14ac:dyDescent="0.25">
      <c r="A1223">
        <v>673833</v>
      </c>
      <c r="B1223" t="s">
        <v>5954</v>
      </c>
      <c r="C1223" t="s">
        <v>5955</v>
      </c>
      <c r="D1223" t="s">
        <v>255</v>
      </c>
      <c r="E1223" t="s">
        <v>256</v>
      </c>
      <c r="F1223">
        <v>2012</v>
      </c>
      <c r="G1223" t="s">
        <v>712</v>
      </c>
      <c r="H1223" t="s">
        <v>5956</v>
      </c>
      <c r="J1223" t="s">
        <v>26</v>
      </c>
      <c r="K1223" t="s">
        <v>86</v>
      </c>
      <c r="L1223" t="b">
        <v>1</v>
      </c>
      <c r="M1223" t="s">
        <v>5957</v>
      </c>
      <c r="N1223" t="str">
        <f>"306.0993"</f>
        <v>306.0993</v>
      </c>
      <c r="P1223" t="b">
        <v>0</v>
      </c>
      <c r="S1223" t="str">
        <f>"9781775585961"</f>
        <v>9781775585961</v>
      </c>
      <c r="T1223">
        <v>865508888</v>
      </c>
    </row>
    <row r="1224" spans="1:20" x14ac:dyDescent="0.25">
      <c r="A1224">
        <v>673832</v>
      </c>
      <c r="B1224" t="s">
        <v>5958</v>
      </c>
      <c r="D1224" t="s">
        <v>255</v>
      </c>
      <c r="E1224" t="s">
        <v>256</v>
      </c>
      <c r="F1224">
        <v>2004</v>
      </c>
      <c r="G1224" t="s">
        <v>2301</v>
      </c>
      <c r="H1224" t="s">
        <v>5959</v>
      </c>
      <c r="I1224" t="s">
        <v>5960</v>
      </c>
      <c r="J1224" t="s">
        <v>26</v>
      </c>
      <c r="K1224" t="s">
        <v>86</v>
      </c>
      <c r="L1224" t="b">
        <v>1</v>
      </c>
      <c r="M1224" t="s">
        <v>5961</v>
      </c>
      <c r="N1224" t="str">
        <f>"NZ821.2"</f>
        <v>NZ821.2</v>
      </c>
      <c r="P1224" t="b">
        <v>0</v>
      </c>
      <c r="S1224" t="str">
        <f>"9781775585503"</f>
        <v>9781775585503</v>
      </c>
      <c r="T1224">
        <v>865508980</v>
      </c>
    </row>
    <row r="1225" spans="1:20" x14ac:dyDescent="0.25">
      <c r="A1225">
        <v>673831</v>
      </c>
      <c r="B1225" t="s">
        <v>5962</v>
      </c>
      <c r="C1225" t="s">
        <v>5963</v>
      </c>
      <c r="D1225" t="s">
        <v>255</v>
      </c>
      <c r="E1225" t="s">
        <v>256</v>
      </c>
      <c r="F1225">
        <v>2011</v>
      </c>
      <c r="G1225" t="s">
        <v>5964</v>
      </c>
      <c r="H1225" t="s">
        <v>5965</v>
      </c>
      <c r="I1225" t="s">
        <v>5966</v>
      </c>
      <c r="J1225" t="s">
        <v>26</v>
      </c>
      <c r="K1225" t="s">
        <v>27</v>
      </c>
      <c r="L1225" t="b">
        <v>1</v>
      </c>
      <c r="M1225" t="s">
        <v>5967</v>
      </c>
      <c r="N1225" t="str">
        <f>"346.930432"</f>
        <v>346.930432</v>
      </c>
      <c r="P1225" t="b">
        <v>0</v>
      </c>
      <c r="S1225" t="str">
        <f>"9781775585008"</f>
        <v>9781775585008</v>
      </c>
      <c r="T1225">
        <v>865509024</v>
      </c>
    </row>
    <row r="1226" spans="1:20" x14ac:dyDescent="0.25">
      <c r="A1226">
        <v>673830</v>
      </c>
      <c r="B1226" t="s">
        <v>5968</v>
      </c>
      <c r="C1226" t="s">
        <v>5969</v>
      </c>
      <c r="D1226" t="s">
        <v>255</v>
      </c>
      <c r="E1226" t="s">
        <v>256</v>
      </c>
      <c r="F1226">
        <v>1999</v>
      </c>
      <c r="G1226" t="s">
        <v>4239</v>
      </c>
      <c r="H1226" t="s">
        <v>5970</v>
      </c>
      <c r="I1226" t="s">
        <v>5971</v>
      </c>
      <c r="J1226" t="s">
        <v>26</v>
      </c>
      <c r="K1226" t="s">
        <v>86</v>
      </c>
      <c r="L1226" t="b">
        <v>1</v>
      </c>
      <c r="M1226" t="s">
        <v>5972</v>
      </c>
      <c r="N1226" t="str">
        <f>"305.3/0993/46"</f>
        <v>305.3/0993/46</v>
      </c>
      <c r="P1226" t="b">
        <v>0</v>
      </c>
      <c r="S1226" t="str">
        <f>"9781775585596"</f>
        <v>9781775585596</v>
      </c>
      <c r="T1226">
        <v>865509080</v>
      </c>
    </row>
    <row r="1227" spans="1:20" x14ac:dyDescent="0.25">
      <c r="A1227">
        <v>673826</v>
      </c>
      <c r="B1227" t="s">
        <v>5973</v>
      </c>
      <c r="C1227" t="s">
        <v>5974</v>
      </c>
      <c r="D1227" t="s">
        <v>255</v>
      </c>
      <c r="E1227" t="s">
        <v>256</v>
      </c>
      <c r="F1227">
        <v>2010</v>
      </c>
      <c r="G1227" t="s">
        <v>2301</v>
      </c>
      <c r="H1227" t="s">
        <v>5975</v>
      </c>
      <c r="I1227" t="s">
        <v>1147</v>
      </c>
      <c r="J1227" t="s">
        <v>26</v>
      </c>
      <c r="K1227" t="s">
        <v>86</v>
      </c>
      <c r="L1227" t="b">
        <v>1</v>
      </c>
      <c r="M1227" t="s">
        <v>5976</v>
      </c>
      <c r="N1227" t="str">
        <f>"821.2"</f>
        <v>821.2</v>
      </c>
      <c r="P1227" t="b">
        <v>0</v>
      </c>
      <c r="S1227" t="str">
        <f>"9781775585749"</f>
        <v>9781775585749</v>
      </c>
      <c r="T1227">
        <v>882891927</v>
      </c>
    </row>
    <row r="1228" spans="1:20" x14ac:dyDescent="0.25">
      <c r="A1228">
        <v>673825</v>
      </c>
      <c r="B1228" t="s">
        <v>5977</v>
      </c>
      <c r="D1228" t="s">
        <v>255</v>
      </c>
      <c r="E1228" t="s">
        <v>256</v>
      </c>
      <c r="F1228">
        <v>2009</v>
      </c>
      <c r="G1228" t="s">
        <v>2301</v>
      </c>
      <c r="H1228" t="s">
        <v>5978</v>
      </c>
      <c r="I1228" t="s">
        <v>5979</v>
      </c>
      <c r="J1228" t="s">
        <v>26</v>
      </c>
      <c r="K1228" t="s">
        <v>86</v>
      </c>
      <c r="L1228" t="b">
        <v>1</v>
      </c>
      <c r="M1228" t="s">
        <v>5572</v>
      </c>
      <c r="N1228" t="str">
        <f>"821/.914"</f>
        <v>821/.914</v>
      </c>
      <c r="P1228" t="b">
        <v>0</v>
      </c>
      <c r="S1228" t="str">
        <f>"9781775585626"</f>
        <v>9781775585626</v>
      </c>
      <c r="T1228">
        <v>879207333</v>
      </c>
    </row>
    <row r="1229" spans="1:20" x14ac:dyDescent="0.25">
      <c r="A1229">
        <v>673824</v>
      </c>
      <c r="B1229" t="s">
        <v>5980</v>
      </c>
      <c r="C1229" t="s">
        <v>5981</v>
      </c>
      <c r="D1229" t="s">
        <v>255</v>
      </c>
      <c r="E1229" t="s">
        <v>256</v>
      </c>
      <c r="F1229">
        <v>1997</v>
      </c>
      <c r="G1229" t="s">
        <v>546</v>
      </c>
      <c r="H1229" t="s">
        <v>5982</v>
      </c>
      <c r="I1229" t="s">
        <v>5594</v>
      </c>
      <c r="J1229" t="s">
        <v>26</v>
      </c>
      <c r="K1229" t="s">
        <v>86</v>
      </c>
      <c r="L1229" t="b">
        <v>1</v>
      </c>
      <c r="M1229" t="s">
        <v>5983</v>
      </c>
      <c r="N1229" t="str">
        <f>"823"</f>
        <v>823</v>
      </c>
      <c r="P1229" t="b">
        <v>0</v>
      </c>
      <c r="S1229" t="str">
        <f>"9781775586777"</f>
        <v>9781775586777</v>
      </c>
      <c r="T1229">
        <v>865509002</v>
      </c>
    </row>
    <row r="1230" spans="1:20" x14ac:dyDescent="0.25">
      <c r="A1230">
        <v>673818</v>
      </c>
      <c r="B1230" t="s">
        <v>2296</v>
      </c>
      <c r="C1230" t="s">
        <v>2297</v>
      </c>
      <c r="D1230" t="s">
        <v>255</v>
      </c>
      <c r="E1230" t="s">
        <v>256</v>
      </c>
      <c r="F1230">
        <v>2000</v>
      </c>
      <c r="G1230" t="s">
        <v>2301</v>
      </c>
      <c r="H1230" t="s">
        <v>5984</v>
      </c>
      <c r="I1230" t="s">
        <v>2299</v>
      </c>
      <c r="J1230" t="s">
        <v>26</v>
      </c>
      <c r="K1230" t="s">
        <v>27</v>
      </c>
      <c r="L1230" t="b">
        <v>1</v>
      </c>
      <c r="M1230" t="s">
        <v>5672</v>
      </c>
      <c r="N1230" t="str">
        <f>"821/.914"</f>
        <v>821/.914</v>
      </c>
      <c r="P1230" t="b">
        <v>0</v>
      </c>
      <c r="S1230" t="str">
        <f>"9781775585800"</f>
        <v>9781775585800</v>
      </c>
      <c r="T1230">
        <v>865508977</v>
      </c>
    </row>
    <row r="1231" spans="1:20" x14ac:dyDescent="0.25">
      <c r="A1231">
        <v>673817</v>
      </c>
      <c r="B1231" t="s">
        <v>5985</v>
      </c>
      <c r="C1231" t="s">
        <v>5986</v>
      </c>
      <c r="D1231" t="s">
        <v>255</v>
      </c>
      <c r="E1231" t="s">
        <v>256</v>
      </c>
      <c r="F1231">
        <v>2011</v>
      </c>
      <c r="G1231" t="s">
        <v>5597</v>
      </c>
      <c r="H1231" t="s">
        <v>5987</v>
      </c>
      <c r="J1231" t="s">
        <v>26</v>
      </c>
      <c r="K1231" t="s">
        <v>86</v>
      </c>
      <c r="L1231" t="b">
        <v>1</v>
      </c>
      <c r="M1231" t="s">
        <v>5595</v>
      </c>
      <c r="N1231" t="str">
        <f>"759.993"</f>
        <v>759.993</v>
      </c>
      <c r="P1231" t="b">
        <v>0</v>
      </c>
      <c r="S1231" t="str">
        <f>"9781775585398"</f>
        <v>9781775585398</v>
      </c>
      <c r="T1231">
        <v>874968025</v>
      </c>
    </row>
    <row r="1232" spans="1:20" x14ac:dyDescent="0.25">
      <c r="A1232">
        <v>673814</v>
      </c>
      <c r="B1232" t="s">
        <v>5988</v>
      </c>
      <c r="C1232" t="s">
        <v>5989</v>
      </c>
      <c r="D1232" t="s">
        <v>255</v>
      </c>
      <c r="E1232" t="s">
        <v>256</v>
      </c>
      <c r="F1232">
        <v>1998</v>
      </c>
      <c r="G1232" t="s">
        <v>1586</v>
      </c>
      <c r="H1232" t="s">
        <v>5990</v>
      </c>
      <c r="I1232" t="s">
        <v>5991</v>
      </c>
      <c r="J1232" t="s">
        <v>26</v>
      </c>
      <c r="K1232" t="s">
        <v>86</v>
      </c>
      <c r="L1232" t="b">
        <v>1</v>
      </c>
      <c r="M1232" t="s">
        <v>5992</v>
      </c>
      <c r="N1232" t="str">
        <f>"324.993/038"</f>
        <v>324.993/038</v>
      </c>
      <c r="P1232" t="b">
        <v>0</v>
      </c>
      <c r="S1232" t="str">
        <f>"9781775586876"</f>
        <v>9781775586876</v>
      </c>
      <c r="T1232">
        <v>865509000</v>
      </c>
    </row>
    <row r="1233" spans="1:20" x14ac:dyDescent="0.25">
      <c r="A1233">
        <v>673812</v>
      </c>
      <c r="B1233" t="s">
        <v>5993</v>
      </c>
      <c r="C1233" t="s">
        <v>5994</v>
      </c>
      <c r="D1233" t="s">
        <v>255</v>
      </c>
      <c r="E1233" t="s">
        <v>256</v>
      </c>
      <c r="F1233">
        <v>1997</v>
      </c>
      <c r="G1233" t="s">
        <v>5675</v>
      </c>
      <c r="H1233" t="s">
        <v>5995</v>
      </c>
      <c r="J1233" t="s">
        <v>26</v>
      </c>
      <c r="K1233" t="s">
        <v>86</v>
      </c>
      <c r="L1233" t="b">
        <v>1</v>
      </c>
      <c r="M1233" t="s">
        <v>5595</v>
      </c>
      <c r="N1233" t="str">
        <f>"823.914"</f>
        <v>823.914</v>
      </c>
      <c r="P1233" t="b">
        <v>0</v>
      </c>
      <c r="S1233" t="str">
        <f>"9781775586890"</f>
        <v>9781775586890</v>
      </c>
      <c r="T1233">
        <v>865330424</v>
      </c>
    </row>
    <row r="1234" spans="1:20" x14ac:dyDescent="0.25">
      <c r="A1234">
        <v>673809</v>
      </c>
      <c r="B1234" t="s">
        <v>5996</v>
      </c>
      <c r="C1234" t="s">
        <v>5997</v>
      </c>
      <c r="D1234" t="s">
        <v>255</v>
      </c>
      <c r="E1234" t="s">
        <v>256</v>
      </c>
      <c r="F1234">
        <v>2012</v>
      </c>
      <c r="G1234" t="s">
        <v>712</v>
      </c>
      <c r="H1234" t="s">
        <v>5998</v>
      </c>
      <c r="I1234" t="s">
        <v>5999</v>
      </c>
      <c r="J1234" t="s">
        <v>26</v>
      </c>
      <c r="K1234" t="s">
        <v>86</v>
      </c>
      <c r="L1234" t="b">
        <v>1</v>
      </c>
      <c r="M1234" t="s">
        <v>6000</v>
      </c>
      <c r="N1234" t="str">
        <f>"993.01"</f>
        <v>993.01</v>
      </c>
      <c r="P1234" t="b">
        <v>0</v>
      </c>
      <c r="S1234" t="str">
        <f>"9781775586531"</f>
        <v>9781775586531</v>
      </c>
      <c r="T1234">
        <v>865509035</v>
      </c>
    </row>
    <row r="1235" spans="1:20" x14ac:dyDescent="0.25">
      <c r="A1235">
        <v>673807</v>
      </c>
      <c r="B1235" t="s">
        <v>6001</v>
      </c>
      <c r="C1235" t="s">
        <v>6002</v>
      </c>
      <c r="D1235" t="s">
        <v>255</v>
      </c>
      <c r="E1235" t="s">
        <v>256</v>
      </c>
      <c r="F1235">
        <v>2004</v>
      </c>
      <c r="G1235" t="s">
        <v>1649</v>
      </c>
      <c r="H1235" t="s">
        <v>6003</v>
      </c>
      <c r="I1235" t="s">
        <v>6004</v>
      </c>
      <c r="J1235" t="s">
        <v>26</v>
      </c>
      <c r="K1235" t="s">
        <v>86</v>
      </c>
      <c r="L1235" t="b">
        <v>1</v>
      </c>
      <c r="M1235" t="s">
        <v>5992</v>
      </c>
      <c r="N1235" t="str">
        <f>"324.99304"</f>
        <v>324.99304</v>
      </c>
      <c r="P1235" t="b">
        <v>0</v>
      </c>
      <c r="S1235" t="str">
        <f>"9781775586869"</f>
        <v>9781775586869</v>
      </c>
      <c r="T1235">
        <v>865508889</v>
      </c>
    </row>
    <row r="1236" spans="1:20" x14ac:dyDescent="0.25">
      <c r="A1236">
        <v>673805</v>
      </c>
      <c r="B1236" t="s">
        <v>6005</v>
      </c>
      <c r="C1236" t="s">
        <v>6006</v>
      </c>
      <c r="D1236" t="s">
        <v>255</v>
      </c>
      <c r="E1236" t="s">
        <v>256</v>
      </c>
      <c r="F1236">
        <v>2011</v>
      </c>
      <c r="G1236" t="s">
        <v>5675</v>
      </c>
      <c r="H1236" t="s">
        <v>6007</v>
      </c>
      <c r="J1236" t="s">
        <v>26</v>
      </c>
      <c r="K1236" t="s">
        <v>86</v>
      </c>
      <c r="L1236" t="b">
        <v>1</v>
      </c>
      <c r="M1236" t="s">
        <v>6008</v>
      </c>
      <c r="N1236" t="str">
        <f>"230"</f>
        <v>230</v>
      </c>
      <c r="P1236" t="b">
        <v>0</v>
      </c>
      <c r="S1236" t="str">
        <f>"9781775586449"</f>
        <v>9781775586449</v>
      </c>
      <c r="T1236">
        <v>874968026</v>
      </c>
    </row>
    <row r="1237" spans="1:20" x14ac:dyDescent="0.25">
      <c r="A1237">
        <v>673802</v>
      </c>
      <c r="B1237" t="s">
        <v>6009</v>
      </c>
      <c r="D1237" t="s">
        <v>255</v>
      </c>
      <c r="E1237" t="s">
        <v>256</v>
      </c>
      <c r="F1237">
        <v>2012</v>
      </c>
      <c r="G1237" t="s">
        <v>2301</v>
      </c>
      <c r="H1237" t="s">
        <v>6010</v>
      </c>
      <c r="I1237" t="s">
        <v>6011</v>
      </c>
      <c r="J1237" t="s">
        <v>26</v>
      </c>
      <c r="K1237" t="s">
        <v>86</v>
      </c>
      <c r="L1237" t="b">
        <v>1</v>
      </c>
      <c r="M1237" t="s">
        <v>6012</v>
      </c>
      <c r="N1237" t="str">
        <f>"NZ821.2"</f>
        <v>NZ821.2</v>
      </c>
      <c r="P1237" t="b">
        <v>0</v>
      </c>
      <c r="S1237" t="str">
        <f>"9781775585527"</f>
        <v>9781775585527</v>
      </c>
      <c r="T1237">
        <v>875581731</v>
      </c>
    </row>
    <row r="1238" spans="1:20" x14ac:dyDescent="0.25">
      <c r="A1238">
        <v>673801</v>
      </c>
      <c r="B1238" t="s">
        <v>6013</v>
      </c>
      <c r="D1238" t="s">
        <v>255</v>
      </c>
      <c r="E1238" t="s">
        <v>256</v>
      </c>
      <c r="F1238">
        <v>2011</v>
      </c>
      <c r="G1238" t="s">
        <v>2301</v>
      </c>
      <c r="H1238" t="s">
        <v>6014</v>
      </c>
      <c r="J1238" t="s">
        <v>26</v>
      </c>
      <c r="K1238" t="s">
        <v>86</v>
      </c>
      <c r="L1238" t="b">
        <v>1</v>
      </c>
      <c r="M1238" t="s">
        <v>5685</v>
      </c>
      <c r="N1238" t="str">
        <f>"NZ821.2"</f>
        <v>NZ821.2</v>
      </c>
      <c r="P1238" t="b">
        <v>0</v>
      </c>
      <c r="S1238" t="str">
        <f>"9781775586746"</f>
        <v>9781775586746</v>
      </c>
      <c r="T1238">
        <v>879206001</v>
      </c>
    </row>
    <row r="1239" spans="1:20" x14ac:dyDescent="0.25">
      <c r="A1239">
        <v>673800</v>
      </c>
      <c r="B1239" t="s">
        <v>6015</v>
      </c>
      <c r="D1239" t="s">
        <v>255</v>
      </c>
      <c r="E1239" t="s">
        <v>255</v>
      </c>
      <c r="F1239">
        <v>1995</v>
      </c>
      <c r="G1239" t="s">
        <v>797</v>
      </c>
      <c r="H1239" t="s">
        <v>6016</v>
      </c>
      <c r="J1239" t="s">
        <v>26</v>
      </c>
      <c r="K1239" t="s">
        <v>27</v>
      </c>
      <c r="L1239" t="b">
        <v>1</v>
      </c>
      <c r="M1239" t="s">
        <v>6012</v>
      </c>
      <c r="N1239" t="str">
        <f>"821"</f>
        <v>821</v>
      </c>
      <c r="P1239" t="b">
        <v>0</v>
      </c>
      <c r="T1239">
        <v>865508887</v>
      </c>
    </row>
    <row r="1240" spans="1:20" x14ac:dyDescent="0.25">
      <c r="A1240">
        <v>673799</v>
      </c>
      <c r="B1240" t="s">
        <v>6017</v>
      </c>
      <c r="C1240" t="s">
        <v>6018</v>
      </c>
      <c r="D1240" t="s">
        <v>255</v>
      </c>
      <c r="E1240" t="s">
        <v>256</v>
      </c>
      <c r="F1240">
        <v>2009</v>
      </c>
      <c r="G1240" t="s">
        <v>4782</v>
      </c>
      <c r="H1240" t="s">
        <v>6019</v>
      </c>
      <c r="I1240" t="s">
        <v>6020</v>
      </c>
      <c r="J1240" t="s">
        <v>26</v>
      </c>
      <c r="K1240" t="s">
        <v>86</v>
      </c>
      <c r="L1240" t="b">
        <v>1</v>
      </c>
      <c r="M1240" t="s">
        <v>6021</v>
      </c>
      <c r="N1240" t="str">
        <f>"920.72/0993"</f>
        <v>920.72/0993</v>
      </c>
      <c r="P1240" t="b">
        <v>0</v>
      </c>
      <c r="S1240" t="str">
        <f>"9781775585671"</f>
        <v>9781775585671</v>
      </c>
      <c r="T1240">
        <v>865509076</v>
      </c>
    </row>
    <row r="1241" spans="1:20" x14ac:dyDescent="0.25">
      <c r="A1241">
        <v>673797</v>
      </c>
      <c r="B1241" t="s">
        <v>6022</v>
      </c>
      <c r="D1241" t="s">
        <v>255</v>
      </c>
      <c r="E1241" t="s">
        <v>256</v>
      </c>
      <c r="F1241">
        <v>2010</v>
      </c>
      <c r="G1241" t="s">
        <v>2301</v>
      </c>
      <c r="H1241" t="s">
        <v>6023</v>
      </c>
      <c r="I1241" t="s">
        <v>6024</v>
      </c>
      <c r="J1241" t="s">
        <v>26</v>
      </c>
      <c r="K1241" t="s">
        <v>86</v>
      </c>
      <c r="L1241" t="b">
        <v>1</v>
      </c>
      <c r="M1241" t="s">
        <v>6025</v>
      </c>
      <c r="N1241" t="str">
        <f>"NZ821.3"</f>
        <v>NZ821.3</v>
      </c>
      <c r="P1241" t="b">
        <v>0</v>
      </c>
      <c r="S1241" t="str">
        <f>"9781775585428"</f>
        <v>9781775585428</v>
      </c>
      <c r="T1241">
        <v>880715448</v>
      </c>
    </row>
    <row r="1242" spans="1:20" x14ac:dyDescent="0.25">
      <c r="A1242">
        <v>673795</v>
      </c>
      <c r="B1242" t="s">
        <v>6026</v>
      </c>
      <c r="C1242" t="s">
        <v>6027</v>
      </c>
      <c r="D1242" t="s">
        <v>255</v>
      </c>
      <c r="E1242" t="s">
        <v>256</v>
      </c>
      <c r="F1242">
        <v>2011</v>
      </c>
      <c r="G1242" t="s">
        <v>197</v>
      </c>
      <c r="H1242" t="s">
        <v>6028</v>
      </c>
      <c r="I1242" t="s">
        <v>6029</v>
      </c>
      <c r="J1242" t="s">
        <v>26</v>
      </c>
      <c r="K1242" t="s">
        <v>86</v>
      </c>
      <c r="L1242" t="b">
        <v>1</v>
      </c>
      <c r="M1242" t="s">
        <v>5698</v>
      </c>
      <c r="N1242" t="str">
        <f>"NZ823.2"</f>
        <v>NZ823.2</v>
      </c>
      <c r="P1242" t="b">
        <v>0</v>
      </c>
      <c r="S1242" t="str">
        <f>"9781775586364"</f>
        <v>9781775586364</v>
      </c>
      <c r="T1242">
        <v>865509100</v>
      </c>
    </row>
    <row r="1243" spans="1:20" x14ac:dyDescent="0.25">
      <c r="A1243">
        <v>673792</v>
      </c>
      <c r="B1243" t="s">
        <v>6030</v>
      </c>
      <c r="C1243" t="s">
        <v>6031</v>
      </c>
      <c r="D1243" t="s">
        <v>255</v>
      </c>
      <c r="E1243" t="s">
        <v>256</v>
      </c>
      <c r="F1243">
        <v>2010</v>
      </c>
      <c r="G1243" t="s">
        <v>2301</v>
      </c>
      <c r="H1243" t="s">
        <v>6032</v>
      </c>
      <c r="I1243" t="s">
        <v>2299</v>
      </c>
      <c r="J1243" t="s">
        <v>26</v>
      </c>
      <c r="K1243" t="s">
        <v>86</v>
      </c>
      <c r="L1243" t="b">
        <v>1</v>
      </c>
      <c r="M1243" t="s">
        <v>6033</v>
      </c>
      <c r="N1243" t="str">
        <f>"823/.92"</f>
        <v>823/.92</v>
      </c>
      <c r="P1243" t="b">
        <v>0</v>
      </c>
      <c r="S1243" t="str">
        <f>"9781775586234"</f>
        <v>9781775586234</v>
      </c>
      <c r="T1243">
        <v>878844043</v>
      </c>
    </row>
    <row r="1244" spans="1:20" x14ac:dyDescent="0.25">
      <c r="A1244">
        <v>673790</v>
      </c>
      <c r="B1244" t="s">
        <v>6034</v>
      </c>
      <c r="D1244" t="s">
        <v>255</v>
      </c>
      <c r="E1244" t="s">
        <v>256</v>
      </c>
      <c r="F1244">
        <v>2012</v>
      </c>
      <c r="G1244" t="s">
        <v>2301</v>
      </c>
      <c r="H1244" t="s">
        <v>6035</v>
      </c>
      <c r="I1244" t="s">
        <v>2303</v>
      </c>
      <c r="J1244" t="s">
        <v>26</v>
      </c>
      <c r="K1244" t="s">
        <v>86</v>
      </c>
      <c r="L1244" t="b">
        <v>1</v>
      </c>
      <c r="M1244" t="s">
        <v>6036</v>
      </c>
      <c r="N1244" t="str">
        <f>"NZ821.2"</f>
        <v>NZ821.2</v>
      </c>
      <c r="P1244" t="b">
        <v>0</v>
      </c>
      <c r="S1244" t="str">
        <f>"9781775585077"</f>
        <v>9781775585077</v>
      </c>
      <c r="T1244">
        <v>878855697</v>
      </c>
    </row>
    <row r="1245" spans="1:20" x14ac:dyDescent="0.25">
      <c r="A1245">
        <v>673787</v>
      </c>
      <c r="B1245" t="s">
        <v>6037</v>
      </c>
      <c r="C1245" t="s">
        <v>6038</v>
      </c>
      <c r="D1245" t="s">
        <v>255</v>
      </c>
      <c r="E1245" t="s">
        <v>256</v>
      </c>
      <c r="F1245">
        <v>2007</v>
      </c>
      <c r="G1245" t="s">
        <v>1750</v>
      </c>
      <c r="H1245" t="s">
        <v>6039</v>
      </c>
      <c r="I1245" t="s">
        <v>6040</v>
      </c>
      <c r="J1245" t="s">
        <v>26</v>
      </c>
      <c r="K1245" t="s">
        <v>86</v>
      </c>
      <c r="L1245" t="b">
        <v>1</v>
      </c>
      <c r="M1245" t="s">
        <v>6041</v>
      </c>
      <c r="N1245" t="str">
        <f>"616.238061"</f>
        <v>616.238061</v>
      </c>
      <c r="P1245" t="b">
        <v>0</v>
      </c>
      <c r="S1245" t="str">
        <f>"9781775585022"</f>
        <v>9781775585022</v>
      </c>
      <c r="T1245">
        <v>865508842</v>
      </c>
    </row>
    <row r="1246" spans="1:20" x14ac:dyDescent="0.25">
      <c r="A1246">
        <v>673785</v>
      </c>
      <c r="B1246" t="s">
        <v>6042</v>
      </c>
      <c r="D1246" t="s">
        <v>255</v>
      </c>
      <c r="E1246" t="s">
        <v>256</v>
      </c>
      <c r="F1246">
        <v>2012</v>
      </c>
      <c r="G1246" t="s">
        <v>5675</v>
      </c>
      <c r="H1246" t="s">
        <v>6043</v>
      </c>
      <c r="I1246" t="s">
        <v>6044</v>
      </c>
      <c r="J1246" t="s">
        <v>26</v>
      </c>
      <c r="K1246" t="s">
        <v>86</v>
      </c>
      <c r="L1246" t="b">
        <v>1</v>
      </c>
      <c r="M1246" t="s">
        <v>6045</v>
      </c>
      <c r="N1246" t="str">
        <f>"NZ820.8"</f>
        <v>NZ820.8</v>
      </c>
      <c r="P1246" t="b">
        <v>0</v>
      </c>
      <c r="S1246" t="str">
        <f>"9781775586296"</f>
        <v>9781775586296</v>
      </c>
      <c r="T1246">
        <v>865509033</v>
      </c>
    </row>
    <row r="1247" spans="1:20" x14ac:dyDescent="0.25">
      <c r="A1247">
        <v>673784</v>
      </c>
      <c r="B1247" t="s">
        <v>6046</v>
      </c>
      <c r="C1247" t="s">
        <v>6047</v>
      </c>
      <c r="D1247" t="s">
        <v>255</v>
      </c>
      <c r="E1247" t="s">
        <v>256</v>
      </c>
      <c r="F1247">
        <v>2011</v>
      </c>
      <c r="G1247" t="s">
        <v>2301</v>
      </c>
      <c r="H1247" t="s">
        <v>6048</v>
      </c>
      <c r="I1247" t="s">
        <v>6049</v>
      </c>
      <c r="J1247" t="s">
        <v>26</v>
      </c>
      <c r="K1247" t="s">
        <v>86</v>
      </c>
      <c r="L1247" t="b">
        <v>1</v>
      </c>
      <c r="M1247" t="s">
        <v>6050</v>
      </c>
      <c r="N1247" t="str">
        <f>"NZ821.3"</f>
        <v>NZ821.3</v>
      </c>
      <c r="P1247" t="b">
        <v>0</v>
      </c>
      <c r="S1247" t="str">
        <f>"9781775585770"</f>
        <v>9781775585770</v>
      </c>
      <c r="T1247">
        <v>865509075</v>
      </c>
    </row>
    <row r="1248" spans="1:20" x14ac:dyDescent="0.25">
      <c r="A1248">
        <v>673783</v>
      </c>
      <c r="B1248" t="s">
        <v>6051</v>
      </c>
      <c r="C1248" t="s">
        <v>6052</v>
      </c>
      <c r="D1248" t="s">
        <v>255</v>
      </c>
      <c r="E1248" t="s">
        <v>256</v>
      </c>
      <c r="F1248">
        <v>2001</v>
      </c>
      <c r="G1248" t="s">
        <v>6053</v>
      </c>
      <c r="H1248" t="s">
        <v>6054</v>
      </c>
      <c r="I1248" t="s">
        <v>6055</v>
      </c>
      <c r="J1248" t="s">
        <v>26</v>
      </c>
      <c r="K1248" t="s">
        <v>27</v>
      </c>
      <c r="L1248" t="b">
        <v>1</v>
      </c>
      <c r="M1248" t="s">
        <v>5950</v>
      </c>
      <c r="N1248" t="str">
        <f>"070.5099324"</f>
        <v>070.5099324</v>
      </c>
      <c r="P1248" t="b">
        <v>0</v>
      </c>
      <c r="S1248" t="str">
        <f>"9781775584995"</f>
        <v>9781775584995</v>
      </c>
      <c r="T1248">
        <v>865509073</v>
      </c>
    </row>
    <row r="1249" spans="1:20" x14ac:dyDescent="0.25">
      <c r="A1249">
        <v>673782</v>
      </c>
      <c r="B1249" t="s">
        <v>6056</v>
      </c>
      <c r="D1249" t="s">
        <v>255</v>
      </c>
      <c r="E1249" t="s">
        <v>256</v>
      </c>
      <c r="F1249">
        <v>2008</v>
      </c>
      <c r="G1249" t="s">
        <v>2301</v>
      </c>
      <c r="H1249" t="s">
        <v>6057</v>
      </c>
      <c r="I1249" t="s">
        <v>6058</v>
      </c>
      <c r="J1249" t="s">
        <v>26</v>
      </c>
      <c r="K1249" t="s">
        <v>86</v>
      </c>
      <c r="L1249" t="b">
        <v>1</v>
      </c>
      <c r="M1249" t="s">
        <v>6059</v>
      </c>
      <c r="N1249" t="str">
        <f>"821.3"</f>
        <v>821.3</v>
      </c>
      <c r="P1249" t="b">
        <v>0</v>
      </c>
      <c r="S1249" t="str">
        <f>"9781775585701"</f>
        <v>9781775585701</v>
      </c>
      <c r="T1249">
        <v>878859442</v>
      </c>
    </row>
    <row r="1250" spans="1:20" x14ac:dyDescent="0.25">
      <c r="A1250">
        <v>673781</v>
      </c>
      <c r="B1250" t="s">
        <v>6060</v>
      </c>
      <c r="C1250" t="s">
        <v>6061</v>
      </c>
      <c r="D1250" t="s">
        <v>255</v>
      </c>
      <c r="E1250" t="s">
        <v>256</v>
      </c>
      <c r="F1250">
        <v>2002</v>
      </c>
      <c r="G1250" t="s">
        <v>5675</v>
      </c>
      <c r="H1250" t="s">
        <v>6062</v>
      </c>
      <c r="I1250" t="s">
        <v>6063</v>
      </c>
      <c r="J1250" t="s">
        <v>26</v>
      </c>
      <c r="K1250" t="s">
        <v>86</v>
      </c>
      <c r="L1250" t="b">
        <v>1</v>
      </c>
      <c r="M1250" t="s">
        <v>5581</v>
      </c>
      <c r="N1250" t="str">
        <f>"820/.9/9931"</f>
        <v>820/.9/9931</v>
      </c>
      <c r="P1250" t="b">
        <v>0</v>
      </c>
      <c r="S1250" t="str">
        <f>"9781775585763"</f>
        <v>9781775585763</v>
      </c>
      <c r="T1250">
        <v>606820273</v>
      </c>
    </row>
    <row r="1251" spans="1:20" x14ac:dyDescent="0.25">
      <c r="A1251">
        <v>673779</v>
      </c>
      <c r="B1251" t="s">
        <v>6064</v>
      </c>
      <c r="C1251" t="s">
        <v>6065</v>
      </c>
      <c r="D1251" t="s">
        <v>255</v>
      </c>
      <c r="E1251" t="s">
        <v>256</v>
      </c>
      <c r="F1251">
        <v>2002</v>
      </c>
      <c r="G1251" t="s">
        <v>1586</v>
      </c>
      <c r="H1251" t="s">
        <v>6066</v>
      </c>
      <c r="I1251" t="s">
        <v>5991</v>
      </c>
      <c r="J1251" t="s">
        <v>26</v>
      </c>
      <c r="K1251" t="s">
        <v>86</v>
      </c>
      <c r="L1251" t="b">
        <v>1</v>
      </c>
      <c r="M1251" t="s">
        <v>5992</v>
      </c>
      <c r="N1251" t="str">
        <f>"324.993/038"</f>
        <v>324.993/038</v>
      </c>
      <c r="P1251" t="b">
        <v>0</v>
      </c>
      <c r="S1251" t="str">
        <f>"9781775586050"</f>
        <v>9781775586050</v>
      </c>
      <c r="T1251">
        <v>865509074</v>
      </c>
    </row>
    <row r="1252" spans="1:20" x14ac:dyDescent="0.25">
      <c r="A1252">
        <v>673777</v>
      </c>
      <c r="B1252" t="s">
        <v>6067</v>
      </c>
      <c r="C1252" t="s">
        <v>6068</v>
      </c>
      <c r="D1252" t="s">
        <v>255</v>
      </c>
      <c r="E1252" t="s">
        <v>256</v>
      </c>
      <c r="F1252">
        <v>1995</v>
      </c>
      <c r="G1252" t="s">
        <v>1586</v>
      </c>
      <c r="H1252" t="s">
        <v>6069</v>
      </c>
      <c r="I1252" t="s">
        <v>6070</v>
      </c>
      <c r="J1252" t="s">
        <v>26</v>
      </c>
      <c r="K1252" t="s">
        <v>86</v>
      </c>
      <c r="L1252" t="b">
        <v>1</v>
      </c>
      <c r="M1252" t="s">
        <v>5992</v>
      </c>
      <c r="N1252" t="str">
        <f>"324.993038"</f>
        <v>324.993038</v>
      </c>
      <c r="P1252" t="b">
        <v>0</v>
      </c>
      <c r="S1252" t="str">
        <f>"9781775586814"</f>
        <v>9781775586814</v>
      </c>
      <c r="T1252">
        <v>865509021</v>
      </c>
    </row>
    <row r="1253" spans="1:20" x14ac:dyDescent="0.25">
      <c r="A1253">
        <v>673775</v>
      </c>
      <c r="B1253" t="s">
        <v>6071</v>
      </c>
      <c r="D1253" t="s">
        <v>255</v>
      </c>
      <c r="E1253" t="s">
        <v>256</v>
      </c>
      <c r="F1253">
        <v>2011</v>
      </c>
      <c r="G1253" t="s">
        <v>2301</v>
      </c>
      <c r="H1253" t="s">
        <v>6072</v>
      </c>
      <c r="I1253" t="s">
        <v>2303</v>
      </c>
      <c r="J1253" t="s">
        <v>26</v>
      </c>
      <c r="K1253" t="s">
        <v>86</v>
      </c>
      <c r="L1253" t="b">
        <v>1</v>
      </c>
      <c r="M1253" t="s">
        <v>6073</v>
      </c>
      <c r="N1253" t="str">
        <f>"100"</f>
        <v>100</v>
      </c>
      <c r="P1253" t="b">
        <v>0</v>
      </c>
      <c r="S1253" t="str">
        <f>"9781775585183"</f>
        <v>9781775585183</v>
      </c>
      <c r="T1253">
        <v>874968017</v>
      </c>
    </row>
    <row r="1254" spans="1:20" x14ac:dyDescent="0.25">
      <c r="A1254">
        <v>673774</v>
      </c>
      <c r="B1254" t="s">
        <v>6074</v>
      </c>
      <c r="C1254" t="s">
        <v>6075</v>
      </c>
      <c r="D1254" t="s">
        <v>255</v>
      </c>
      <c r="E1254" t="s">
        <v>256</v>
      </c>
      <c r="F1254">
        <v>2004</v>
      </c>
      <c r="G1254" t="s">
        <v>2043</v>
      </c>
      <c r="H1254" t="s">
        <v>6076</v>
      </c>
      <c r="I1254" t="s">
        <v>6077</v>
      </c>
      <c r="J1254" t="s">
        <v>26</v>
      </c>
      <c r="K1254" t="s">
        <v>86</v>
      </c>
      <c r="L1254" t="b">
        <v>1</v>
      </c>
      <c r="M1254" t="s">
        <v>6078</v>
      </c>
      <c r="N1254" t="str">
        <f>"781.62/99442"</f>
        <v>781.62/99442</v>
      </c>
      <c r="P1254" t="b">
        <v>0</v>
      </c>
      <c r="S1254" t="str">
        <f>"9781775586784"</f>
        <v>9781775586784</v>
      </c>
      <c r="T1254">
        <v>865509099</v>
      </c>
    </row>
    <row r="1255" spans="1:20" x14ac:dyDescent="0.25">
      <c r="A1255">
        <v>673772</v>
      </c>
      <c r="B1255" t="s">
        <v>6079</v>
      </c>
      <c r="C1255" t="s">
        <v>6080</v>
      </c>
      <c r="D1255" t="s">
        <v>255</v>
      </c>
      <c r="E1255" t="s">
        <v>256</v>
      </c>
      <c r="F1255">
        <v>2011</v>
      </c>
      <c r="G1255" t="s">
        <v>5675</v>
      </c>
      <c r="H1255" t="s">
        <v>6081</v>
      </c>
      <c r="I1255" t="s">
        <v>6082</v>
      </c>
      <c r="J1255" t="s">
        <v>26</v>
      </c>
      <c r="K1255" t="s">
        <v>86</v>
      </c>
      <c r="L1255" t="b">
        <v>1</v>
      </c>
      <c r="M1255" t="s">
        <v>6083</v>
      </c>
      <c r="N1255" t="str">
        <f>"NZ820.93293"</f>
        <v>NZ820.93293</v>
      </c>
      <c r="P1255" t="b">
        <v>0</v>
      </c>
      <c r="S1255" t="str">
        <f>"9781775586616"</f>
        <v>9781775586616</v>
      </c>
      <c r="T1255">
        <v>865509084</v>
      </c>
    </row>
    <row r="1256" spans="1:20" x14ac:dyDescent="0.25">
      <c r="A1256">
        <v>673771</v>
      </c>
      <c r="B1256" t="s">
        <v>6084</v>
      </c>
      <c r="C1256" t="s">
        <v>6085</v>
      </c>
      <c r="D1256" t="s">
        <v>255</v>
      </c>
      <c r="E1256" t="s">
        <v>256</v>
      </c>
      <c r="F1256">
        <v>2013</v>
      </c>
      <c r="G1256" t="s">
        <v>6086</v>
      </c>
      <c r="H1256" t="s">
        <v>6087</v>
      </c>
      <c r="I1256" t="s">
        <v>6088</v>
      </c>
      <c r="J1256" t="s">
        <v>26</v>
      </c>
      <c r="K1256" t="s">
        <v>86</v>
      </c>
      <c r="L1256" t="b">
        <v>1</v>
      </c>
      <c r="M1256" t="s">
        <v>6089</v>
      </c>
      <c r="N1256" t="str">
        <f>"306.0993"</f>
        <v>306.0993</v>
      </c>
      <c r="P1256" t="b">
        <v>0</v>
      </c>
      <c r="S1256" t="str">
        <f>"9781775584988"</f>
        <v>9781775584988</v>
      </c>
      <c r="T1256">
        <v>874855739</v>
      </c>
    </row>
    <row r="1257" spans="1:20" x14ac:dyDescent="0.25">
      <c r="A1257">
        <v>673768</v>
      </c>
      <c r="B1257" t="s">
        <v>6090</v>
      </c>
      <c r="D1257" t="s">
        <v>255</v>
      </c>
      <c r="E1257" t="s">
        <v>256</v>
      </c>
      <c r="F1257">
        <v>2012</v>
      </c>
      <c r="G1257" t="s">
        <v>4210</v>
      </c>
      <c r="H1257" t="s">
        <v>6091</v>
      </c>
      <c r="I1257" t="s">
        <v>6092</v>
      </c>
      <c r="J1257" t="s">
        <v>26</v>
      </c>
      <c r="K1257" t="s">
        <v>86</v>
      </c>
      <c r="L1257" t="b">
        <v>1</v>
      </c>
      <c r="M1257" t="s">
        <v>6093</v>
      </c>
      <c r="N1257" t="str">
        <f>"378.170281"</f>
        <v>378.170281</v>
      </c>
      <c r="P1257" t="b">
        <v>0</v>
      </c>
      <c r="S1257" t="str">
        <f>"9781775585091"</f>
        <v>9781775585091</v>
      </c>
      <c r="T1257">
        <v>865509012</v>
      </c>
    </row>
    <row r="1258" spans="1:20" x14ac:dyDescent="0.25">
      <c r="A1258">
        <v>673765</v>
      </c>
      <c r="B1258" t="s">
        <v>6094</v>
      </c>
      <c r="C1258" t="s">
        <v>6095</v>
      </c>
      <c r="D1258" t="s">
        <v>255</v>
      </c>
      <c r="E1258" t="s">
        <v>256</v>
      </c>
      <c r="F1258">
        <v>2008</v>
      </c>
      <c r="G1258" t="s">
        <v>6096</v>
      </c>
      <c r="H1258" t="s">
        <v>6097</v>
      </c>
      <c r="I1258" t="s">
        <v>6098</v>
      </c>
      <c r="J1258" t="s">
        <v>26</v>
      </c>
      <c r="K1258" t="s">
        <v>86</v>
      </c>
      <c r="L1258" t="b">
        <v>1</v>
      </c>
      <c r="M1258" t="s">
        <v>6099</v>
      </c>
      <c r="N1258" t="str">
        <f>"779.99404"</f>
        <v>779.99404</v>
      </c>
      <c r="P1258" t="b">
        <v>0</v>
      </c>
      <c r="S1258" t="str">
        <f>"9781775586425"</f>
        <v>9781775586425</v>
      </c>
      <c r="T1258">
        <v>865509020</v>
      </c>
    </row>
    <row r="1259" spans="1:20" x14ac:dyDescent="0.25">
      <c r="A1259">
        <v>673764</v>
      </c>
      <c r="B1259" t="s">
        <v>6100</v>
      </c>
      <c r="D1259" t="s">
        <v>255</v>
      </c>
      <c r="E1259" t="s">
        <v>256</v>
      </c>
      <c r="F1259">
        <v>1990</v>
      </c>
      <c r="G1259" t="s">
        <v>6101</v>
      </c>
      <c r="H1259" t="s">
        <v>6102</v>
      </c>
      <c r="I1259" t="s">
        <v>6103</v>
      </c>
      <c r="J1259" t="s">
        <v>26</v>
      </c>
      <c r="K1259" t="s">
        <v>86</v>
      </c>
      <c r="L1259" t="b">
        <v>1</v>
      </c>
      <c r="M1259" t="s">
        <v>6104</v>
      </c>
      <c r="N1259" t="str">
        <f>"499/.4"</f>
        <v>499/.4</v>
      </c>
      <c r="P1259" t="b">
        <v>0</v>
      </c>
      <c r="S1259" t="str">
        <f>"9781775585442"</f>
        <v>9781775585442</v>
      </c>
      <c r="T1259">
        <v>865508972</v>
      </c>
    </row>
    <row r="1260" spans="1:20" x14ac:dyDescent="0.25">
      <c r="A1260">
        <v>673760</v>
      </c>
      <c r="B1260" t="s">
        <v>6105</v>
      </c>
      <c r="D1260" t="s">
        <v>255</v>
      </c>
      <c r="E1260" t="s">
        <v>256</v>
      </c>
      <c r="F1260">
        <v>2012</v>
      </c>
      <c r="G1260" t="s">
        <v>1968</v>
      </c>
      <c r="H1260" t="s">
        <v>6106</v>
      </c>
      <c r="I1260" t="s">
        <v>6107</v>
      </c>
      <c r="J1260" t="s">
        <v>26</v>
      </c>
      <c r="K1260" t="s">
        <v>27</v>
      </c>
      <c r="L1260" t="b">
        <v>1</v>
      </c>
      <c r="M1260" t="s">
        <v>5656</v>
      </c>
      <c r="N1260" t="str">
        <f>"823.92"</f>
        <v>823.92</v>
      </c>
      <c r="P1260" t="b">
        <v>1</v>
      </c>
      <c r="S1260" t="str">
        <f>"9781775586333"</f>
        <v>9781775586333</v>
      </c>
      <c r="T1260">
        <v>863822565</v>
      </c>
    </row>
    <row r="1261" spans="1:20" x14ac:dyDescent="0.25">
      <c r="A1261">
        <v>673758</v>
      </c>
      <c r="B1261" t="s">
        <v>6108</v>
      </c>
      <c r="D1261" t="s">
        <v>255</v>
      </c>
      <c r="E1261" t="s">
        <v>256</v>
      </c>
      <c r="F1261">
        <v>2012</v>
      </c>
      <c r="G1261" t="s">
        <v>712</v>
      </c>
      <c r="H1261" t="s">
        <v>6109</v>
      </c>
      <c r="I1261" t="s">
        <v>6110</v>
      </c>
      <c r="J1261" t="s">
        <v>26</v>
      </c>
      <c r="K1261" t="s">
        <v>86</v>
      </c>
      <c r="L1261" t="b">
        <v>1</v>
      </c>
      <c r="M1261" t="s">
        <v>6111</v>
      </c>
      <c r="N1261" t="str">
        <f>"993.02"</f>
        <v>993.02</v>
      </c>
      <c r="P1261" t="b">
        <v>0</v>
      </c>
      <c r="S1261" t="str">
        <f>"9781775586524"</f>
        <v>9781775586524</v>
      </c>
      <c r="T1261">
        <v>865508961</v>
      </c>
    </row>
    <row r="1262" spans="1:20" x14ac:dyDescent="0.25">
      <c r="A1262">
        <v>673756</v>
      </c>
      <c r="B1262" t="s">
        <v>6112</v>
      </c>
      <c r="D1262" t="s">
        <v>255</v>
      </c>
      <c r="E1262" t="s">
        <v>256</v>
      </c>
      <c r="F1262">
        <v>2012</v>
      </c>
      <c r="G1262" t="s">
        <v>5597</v>
      </c>
      <c r="H1262" t="s">
        <v>5598</v>
      </c>
      <c r="I1262" t="s">
        <v>5599</v>
      </c>
      <c r="J1262" t="s">
        <v>26</v>
      </c>
      <c r="K1262" t="s">
        <v>27</v>
      </c>
      <c r="L1262" t="b">
        <v>1</v>
      </c>
      <c r="M1262" t="s">
        <v>5600</v>
      </c>
      <c r="N1262" t="str">
        <f>"759.993"</f>
        <v>759.993</v>
      </c>
      <c r="P1262" t="b">
        <v>0</v>
      </c>
      <c r="S1262" t="str">
        <f>"9781775585114"</f>
        <v>9781775585114</v>
      </c>
      <c r="T1262">
        <v>865508975</v>
      </c>
    </row>
    <row r="1263" spans="1:20" x14ac:dyDescent="0.25">
      <c r="A1263">
        <v>673755</v>
      </c>
      <c r="B1263" t="s">
        <v>6113</v>
      </c>
      <c r="D1263" t="s">
        <v>255</v>
      </c>
      <c r="E1263" t="s">
        <v>256</v>
      </c>
      <c r="F1263">
        <v>2008</v>
      </c>
      <c r="G1263" t="s">
        <v>2301</v>
      </c>
      <c r="H1263" t="s">
        <v>6114</v>
      </c>
      <c r="I1263" t="s">
        <v>6115</v>
      </c>
      <c r="J1263" t="s">
        <v>26</v>
      </c>
      <c r="K1263" t="s">
        <v>86</v>
      </c>
      <c r="L1263" t="b">
        <v>1</v>
      </c>
      <c r="M1263" t="s">
        <v>5591</v>
      </c>
      <c r="N1263" t="str">
        <f>"NZ821.2"</f>
        <v>NZ821.2</v>
      </c>
      <c r="P1263" t="b">
        <v>0</v>
      </c>
      <c r="S1263" t="str">
        <f>"9781775585190"</f>
        <v>9781775585190</v>
      </c>
      <c r="T1263">
        <v>873808683</v>
      </c>
    </row>
    <row r="1264" spans="1:20" x14ac:dyDescent="0.25">
      <c r="A1264">
        <v>673753</v>
      </c>
      <c r="B1264" t="s">
        <v>6116</v>
      </c>
      <c r="C1264" t="s">
        <v>6117</v>
      </c>
      <c r="D1264" t="s">
        <v>255</v>
      </c>
      <c r="E1264" t="s">
        <v>256</v>
      </c>
      <c r="F1264">
        <v>2010</v>
      </c>
      <c r="G1264" t="s">
        <v>712</v>
      </c>
      <c r="H1264" t="s">
        <v>6118</v>
      </c>
      <c r="I1264" t="s">
        <v>6119</v>
      </c>
      <c r="J1264" t="s">
        <v>26</v>
      </c>
      <c r="K1264" t="s">
        <v>86</v>
      </c>
      <c r="L1264" t="b">
        <v>1</v>
      </c>
      <c r="M1264" t="s">
        <v>6120</v>
      </c>
      <c r="N1264" t="str">
        <f>"636.301099387"</f>
        <v>636.301099387</v>
      </c>
      <c r="P1264" t="b">
        <v>0</v>
      </c>
      <c r="S1264" t="str">
        <f>"9781775585886"</f>
        <v>9781775585886</v>
      </c>
      <c r="T1264">
        <v>879275891</v>
      </c>
    </row>
    <row r="1265" spans="1:20" x14ac:dyDescent="0.25">
      <c r="A1265">
        <v>672373</v>
      </c>
      <c r="B1265" t="s">
        <v>6121</v>
      </c>
      <c r="D1265" t="s">
        <v>785</v>
      </c>
      <c r="E1265" t="s">
        <v>785</v>
      </c>
      <c r="F1265">
        <v>2014</v>
      </c>
      <c r="G1265" t="s">
        <v>6122</v>
      </c>
      <c r="H1265" t="s">
        <v>6123</v>
      </c>
      <c r="I1265" t="s">
        <v>6124</v>
      </c>
      <c r="J1265" t="s">
        <v>26</v>
      </c>
      <c r="K1265" t="s">
        <v>27</v>
      </c>
      <c r="L1265" t="b">
        <v>1</v>
      </c>
      <c r="M1265" t="s">
        <v>6125</v>
      </c>
      <c r="N1265" t="str">
        <f>"003.3"</f>
        <v>003.3</v>
      </c>
      <c r="O1265" t="s">
        <v>790</v>
      </c>
      <c r="P1265" t="b">
        <v>0</v>
      </c>
      <c r="R1265" t="str">
        <f>"9781606495261"</f>
        <v>9781606495261</v>
      </c>
      <c r="S1265" t="str">
        <f>"9781606495278"</f>
        <v>9781606495278</v>
      </c>
      <c r="T1265">
        <v>867482183</v>
      </c>
    </row>
    <row r="1266" spans="1:20" x14ac:dyDescent="0.25">
      <c r="A1266">
        <v>672140</v>
      </c>
      <c r="B1266" t="s">
        <v>6126</v>
      </c>
      <c r="D1266" t="s">
        <v>5276</v>
      </c>
      <c r="E1266" t="s">
        <v>6127</v>
      </c>
      <c r="F1266">
        <v>2013</v>
      </c>
      <c r="G1266" t="s">
        <v>6128</v>
      </c>
      <c r="H1266" t="s">
        <v>6129</v>
      </c>
      <c r="I1266" t="s">
        <v>6130</v>
      </c>
      <c r="J1266" t="s">
        <v>26</v>
      </c>
      <c r="K1266" t="s">
        <v>27</v>
      </c>
      <c r="L1266" t="b">
        <v>1</v>
      </c>
      <c r="M1266" t="s">
        <v>6131</v>
      </c>
      <c r="N1266" t="str">
        <f>"629.2/2220924"</f>
        <v>629.2/2220924</v>
      </c>
      <c r="P1266" t="b">
        <v>0</v>
      </c>
      <c r="S1266" t="str">
        <f>"9781461954439"</f>
        <v>9781461954439</v>
      </c>
      <c r="T1266">
        <v>907225955</v>
      </c>
    </row>
    <row r="1267" spans="1:20" x14ac:dyDescent="0.25">
      <c r="A1267">
        <v>671479</v>
      </c>
      <c r="B1267" t="s">
        <v>6132</v>
      </c>
      <c r="C1267" t="s">
        <v>6133</v>
      </c>
      <c r="D1267" t="s">
        <v>5052</v>
      </c>
      <c r="E1267" t="s">
        <v>5052</v>
      </c>
      <c r="F1267">
        <v>2013</v>
      </c>
      <c r="G1267" t="s">
        <v>4558</v>
      </c>
      <c r="H1267" t="s">
        <v>6134</v>
      </c>
      <c r="J1267" t="s">
        <v>26</v>
      </c>
      <c r="K1267" t="s">
        <v>27</v>
      </c>
      <c r="L1267" t="b">
        <v>1</v>
      </c>
      <c r="M1267" t="s">
        <v>6135</v>
      </c>
      <c r="N1267" t="str">
        <f>"953.63"</f>
        <v>953.63</v>
      </c>
      <c r="P1267" t="b">
        <v>0</v>
      </c>
      <c r="R1267" t="str">
        <f>"9780801452093"</f>
        <v>9780801452093</v>
      </c>
      <c r="S1267" t="str">
        <f>"9780801469343"</f>
        <v>9780801469343</v>
      </c>
      <c r="T1267">
        <v>857080725</v>
      </c>
    </row>
    <row r="1268" spans="1:20" x14ac:dyDescent="0.25">
      <c r="A1268">
        <v>671470</v>
      </c>
      <c r="B1268" t="s">
        <v>6136</v>
      </c>
      <c r="C1268" t="s">
        <v>6137</v>
      </c>
      <c r="D1268" t="s">
        <v>5052</v>
      </c>
      <c r="E1268" t="s">
        <v>5052</v>
      </c>
      <c r="F1268">
        <v>2010</v>
      </c>
      <c r="G1268" t="s">
        <v>6138</v>
      </c>
      <c r="H1268" t="s">
        <v>6139</v>
      </c>
      <c r="I1268" t="s">
        <v>6140</v>
      </c>
      <c r="J1268" t="s">
        <v>26</v>
      </c>
      <c r="K1268" t="s">
        <v>27</v>
      </c>
      <c r="L1268" t="b">
        <v>1</v>
      </c>
      <c r="M1268" t="s">
        <v>6141</v>
      </c>
      <c r="N1268" t="str">
        <f>"289.7/3"</f>
        <v>289.7/3</v>
      </c>
      <c r="P1268" t="b">
        <v>0</v>
      </c>
      <c r="R1268" t="str">
        <f>"9780801445187"</f>
        <v>9780801445187</v>
      </c>
      <c r="S1268" t="str">
        <f>"9780801458866"</f>
        <v>9780801458866</v>
      </c>
      <c r="T1268">
        <v>726824251</v>
      </c>
    </row>
    <row r="1269" spans="1:20" x14ac:dyDescent="0.25">
      <c r="A1269">
        <v>671282</v>
      </c>
      <c r="B1269" t="s">
        <v>6142</v>
      </c>
      <c r="C1269" t="s">
        <v>6143</v>
      </c>
      <c r="D1269" t="s">
        <v>5052</v>
      </c>
      <c r="E1269" t="s">
        <v>5053</v>
      </c>
      <c r="F1269">
        <v>2014</v>
      </c>
      <c r="G1269" t="s">
        <v>5220</v>
      </c>
      <c r="H1269" t="s">
        <v>6144</v>
      </c>
      <c r="I1269" t="s">
        <v>6145</v>
      </c>
      <c r="J1269" t="s">
        <v>26</v>
      </c>
      <c r="K1269" t="s">
        <v>27</v>
      </c>
      <c r="L1269" t="b">
        <v>1</v>
      </c>
      <c r="M1269" t="s">
        <v>6146</v>
      </c>
      <c r="N1269" t="str">
        <f>"028/.9094309033"</f>
        <v>028/.9094309033</v>
      </c>
      <c r="O1269" t="s">
        <v>6147</v>
      </c>
      <c r="P1269" t="b">
        <v>0</v>
      </c>
      <c r="R1269" t="str">
        <f>"9780801453045"</f>
        <v>9780801453045</v>
      </c>
      <c r="S1269" t="str">
        <f>"9780801470431"</f>
        <v>9780801470431</v>
      </c>
      <c r="T1269">
        <v>881429765</v>
      </c>
    </row>
    <row r="1270" spans="1:20" x14ac:dyDescent="0.25">
      <c r="A1270">
        <v>668632</v>
      </c>
      <c r="B1270" t="s">
        <v>6148</v>
      </c>
      <c r="C1270" t="s">
        <v>6149</v>
      </c>
      <c r="D1270" t="s">
        <v>2347</v>
      </c>
      <c r="E1270" t="s">
        <v>2348</v>
      </c>
      <c r="F1270">
        <v>2013</v>
      </c>
      <c r="G1270" t="s">
        <v>3721</v>
      </c>
      <c r="H1270" t="s">
        <v>6150</v>
      </c>
      <c r="I1270" t="s">
        <v>6151</v>
      </c>
      <c r="J1270" t="s">
        <v>26</v>
      </c>
      <c r="K1270" t="s">
        <v>27</v>
      </c>
      <c r="L1270" t="b">
        <v>1</v>
      </c>
      <c r="M1270" t="s">
        <v>6152</v>
      </c>
      <c r="N1270" t="str">
        <f>"362.82/92"</f>
        <v>362.82/92</v>
      </c>
      <c r="O1270" t="s">
        <v>6153</v>
      </c>
      <c r="P1270" t="b">
        <v>0</v>
      </c>
      <c r="S1270" t="str">
        <f>"9781555538316"</f>
        <v>9781555538316</v>
      </c>
      <c r="T1270">
        <v>867305852</v>
      </c>
    </row>
    <row r="1271" spans="1:20" x14ac:dyDescent="0.25">
      <c r="A1271">
        <v>668631</v>
      </c>
      <c r="B1271" t="s">
        <v>6154</v>
      </c>
      <c r="C1271" t="s">
        <v>6155</v>
      </c>
      <c r="D1271" t="s">
        <v>2347</v>
      </c>
      <c r="E1271" t="s">
        <v>2348</v>
      </c>
      <c r="F1271">
        <v>2013</v>
      </c>
      <c r="G1271" t="s">
        <v>3671</v>
      </c>
      <c r="H1271" t="s">
        <v>6156</v>
      </c>
      <c r="I1271" t="s">
        <v>6157</v>
      </c>
      <c r="J1271" t="s">
        <v>26</v>
      </c>
      <c r="K1271" t="s">
        <v>27</v>
      </c>
      <c r="L1271" t="b">
        <v>1</v>
      </c>
      <c r="M1271" t="s">
        <v>6158</v>
      </c>
      <c r="N1271" t="str">
        <f>"781.62/91497"</f>
        <v>781.62/91497</v>
      </c>
      <c r="P1271" t="b">
        <v>0</v>
      </c>
      <c r="S1271" t="str">
        <f>"9781555538385"</f>
        <v>9781555538385</v>
      </c>
      <c r="T1271">
        <v>869518941</v>
      </c>
    </row>
    <row r="1272" spans="1:20" x14ac:dyDescent="0.25">
      <c r="A1272">
        <v>668629</v>
      </c>
      <c r="B1272" t="s">
        <v>6159</v>
      </c>
      <c r="C1272" t="s">
        <v>6160</v>
      </c>
      <c r="D1272" t="s">
        <v>2347</v>
      </c>
      <c r="E1272" t="s">
        <v>2348</v>
      </c>
      <c r="F1272">
        <v>2013</v>
      </c>
      <c r="G1272" t="s">
        <v>3721</v>
      </c>
      <c r="H1272" t="s">
        <v>6161</v>
      </c>
      <c r="I1272" t="s">
        <v>6162</v>
      </c>
      <c r="J1272" t="s">
        <v>26</v>
      </c>
      <c r="K1272" t="s">
        <v>27</v>
      </c>
      <c r="L1272" t="b">
        <v>1</v>
      </c>
      <c r="M1272" t="s">
        <v>6163</v>
      </c>
      <c r="N1272" t="str">
        <f>"362.82/9201"</f>
        <v>362.82/9201</v>
      </c>
      <c r="O1272" t="s">
        <v>6153</v>
      </c>
      <c r="P1272" t="b">
        <v>0</v>
      </c>
      <c r="S1272" t="str">
        <f>"9781555538347"</f>
        <v>9781555538347</v>
      </c>
      <c r="T1272">
        <v>864411129</v>
      </c>
    </row>
    <row r="1273" spans="1:20" x14ac:dyDescent="0.25">
      <c r="A1273">
        <v>668625</v>
      </c>
      <c r="B1273" t="s">
        <v>6164</v>
      </c>
      <c r="C1273" t="s">
        <v>6165</v>
      </c>
      <c r="D1273" t="s">
        <v>240</v>
      </c>
      <c r="E1273" t="s">
        <v>1625</v>
      </c>
      <c r="F1273">
        <v>2013</v>
      </c>
      <c r="G1273" t="s">
        <v>182</v>
      </c>
      <c r="H1273" t="s">
        <v>6166</v>
      </c>
      <c r="I1273" t="s">
        <v>6167</v>
      </c>
      <c r="J1273" t="s">
        <v>26</v>
      </c>
      <c r="K1273" t="s">
        <v>27</v>
      </c>
      <c r="L1273" t="b">
        <v>1</v>
      </c>
      <c r="M1273" t="s">
        <v>6168</v>
      </c>
      <c r="N1273" t="str">
        <f>"947.004924"</f>
        <v>947.004924</v>
      </c>
      <c r="O1273" t="s">
        <v>6169</v>
      </c>
      <c r="P1273" t="b">
        <v>0</v>
      </c>
      <c r="R1273" t="str">
        <f>"9781611684551"</f>
        <v>9781611684551</v>
      </c>
      <c r="S1273" t="str">
        <f>"9781611684568"</f>
        <v>9781611684568</v>
      </c>
      <c r="T1273">
        <v>864383602</v>
      </c>
    </row>
    <row r="1274" spans="1:20" x14ac:dyDescent="0.25">
      <c r="A1274">
        <v>668621</v>
      </c>
      <c r="B1274" t="s">
        <v>6170</v>
      </c>
      <c r="C1274" t="s">
        <v>6171</v>
      </c>
      <c r="D1274" t="s">
        <v>240</v>
      </c>
      <c r="E1274" t="s">
        <v>1625</v>
      </c>
      <c r="F1274">
        <v>2013</v>
      </c>
      <c r="G1274" t="s">
        <v>4359</v>
      </c>
      <c r="H1274" t="s">
        <v>6172</v>
      </c>
      <c r="I1274" t="s">
        <v>6173</v>
      </c>
      <c r="J1274" t="s">
        <v>26</v>
      </c>
      <c r="K1274" t="s">
        <v>27</v>
      </c>
      <c r="L1274" t="b">
        <v>1</v>
      </c>
      <c r="M1274" t="s">
        <v>6174</v>
      </c>
      <c r="N1274" t="str">
        <f>"371.076"</f>
        <v>371.076</v>
      </c>
      <c r="O1274" t="s">
        <v>5389</v>
      </c>
      <c r="P1274" t="b">
        <v>0</v>
      </c>
      <c r="R1274" t="str">
        <f>"9781611684582"</f>
        <v>9781611684582</v>
      </c>
      <c r="S1274" t="str">
        <f>"9781611684599"</f>
        <v>9781611684599</v>
      </c>
      <c r="T1274">
        <v>861671437</v>
      </c>
    </row>
    <row r="1275" spans="1:20" x14ac:dyDescent="0.25">
      <c r="A1275">
        <v>668582</v>
      </c>
      <c r="B1275" t="s">
        <v>6175</v>
      </c>
      <c r="C1275" t="s">
        <v>6176</v>
      </c>
      <c r="D1275" t="s">
        <v>255</v>
      </c>
      <c r="E1275" t="s">
        <v>256</v>
      </c>
      <c r="F1275">
        <v>1997</v>
      </c>
      <c r="G1275" t="s">
        <v>1649</v>
      </c>
      <c r="H1275" t="s">
        <v>6177</v>
      </c>
      <c r="J1275" t="s">
        <v>26</v>
      </c>
      <c r="K1275" t="s">
        <v>86</v>
      </c>
      <c r="L1275" t="b">
        <v>1</v>
      </c>
      <c r="M1275" t="s">
        <v>6178</v>
      </c>
      <c r="N1275" t="str">
        <f>"353.30993"</f>
        <v>353.30993</v>
      </c>
      <c r="P1275" t="b">
        <v>0</v>
      </c>
      <c r="S1275" t="str">
        <f>"9781775586548"</f>
        <v>9781775586548</v>
      </c>
      <c r="T1275">
        <v>878838948</v>
      </c>
    </row>
    <row r="1276" spans="1:20" x14ac:dyDescent="0.25">
      <c r="A1276">
        <v>668581</v>
      </c>
      <c r="B1276" t="s">
        <v>6179</v>
      </c>
      <c r="D1276" t="s">
        <v>255</v>
      </c>
      <c r="E1276" t="s">
        <v>256</v>
      </c>
      <c r="F1276">
        <v>2013</v>
      </c>
      <c r="G1276" t="s">
        <v>2310</v>
      </c>
      <c r="H1276" t="s">
        <v>6180</v>
      </c>
      <c r="I1276" t="s">
        <v>6181</v>
      </c>
      <c r="J1276" t="s">
        <v>26</v>
      </c>
      <c r="K1276" t="s">
        <v>86</v>
      </c>
      <c r="L1276" t="b">
        <v>1</v>
      </c>
      <c r="M1276" t="s">
        <v>6182</v>
      </c>
      <c r="N1276" t="str">
        <f>"808.81"</f>
        <v>808.81</v>
      </c>
      <c r="P1276" t="b">
        <v>0</v>
      </c>
      <c r="S1276" t="str">
        <f>"9781775585602"</f>
        <v>9781775585602</v>
      </c>
      <c r="T1276">
        <v>863822566</v>
      </c>
    </row>
    <row r="1277" spans="1:20" x14ac:dyDescent="0.25">
      <c r="A1277">
        <v>668577</v>
      </c>
      <c r="B1277" t="s">
        <v>6183</v>
      </c>
      <c r="D1277" t="s">
        <v>255</v>
      </c>
      <c r="E1277" t="s">
        <v>256</v>
      </c>
      <c r="F1277">
        <v>2009</v>
      </c>
      <c r="G1277" t="s">
        <v>6184</v>
      </c>
      <c r="H1277" t="s">
        <v>6185</v>
      </c>
      <c r="I1277" t="s">
        <v>6186</v>
      </c>
      <c r="J1277" t="s">
        <v>26</v>
      </c>
      <c r="K1277" t="s">
        <v>86</v>
      </c>
      <c r="L1277" t="b">
        <v>1</v>
      </c>
      <c r="M1277" t="s">
        <v>6187</v>
      </c>
      <c r="N1277" t="str">
        <f>"770.92"</f>
        <v>770.92</v>
      </c>
      <c r="P1277" t="b">
        <v>0</v>
      </c>
      <c r="S1277" t="str">
        <f>"9781775585909"</f>
        <v>9781775585909</v>
      </c>
      <c r="T1277">
        <v>864675757</v>
      </c>
    </row>
    <row r="1278" spans="1:20" x14ac:dyDescent="0.25">
      <c r="A1278">
        <v>668573</v>
      </c>
      <c r="B1278" t="s">
        <v>6188</v>
      </c>
      <c r="C1278" t="s">
        <v>6189</v>
      </c>
      <c r="D1278" t="s">
        <v>255</v>
      </c>
      <c r="E1278" t="s">
        <v>256</v>
      </c>
      <c r="F1278">
        <v>2013</v>
      </c>
      <c r="G1278" t="s">
        <v>2301</v>
      </c>
      <c r="H1278" t="s">
        <v>6190</v>
      </c>
      <c r="I1278" t="s">
        <v>2303</v>
      </c>
      <c r="J1278" t="s">
        <v>26</v>
      </c>
      <c r="K1278" t="s">
        <v>27</v>
      </c>
      <c r="L1278" t="b">
        <v>1</v>
      </c>
      <c r="M1278" t="s">
        <v>5581</v>
      </c>
      <c r="N1278" t="str">
        <f>"821.92;821.2"</f>
        <v>821.92;821.2</v>
      </c>
      <c r="P1278" t="b">
        <v>0</v>
      </c>
      <c r="S1278" t="str">
        <f>"9781775586739"</f>
        <v>9781775586739</v>
      </c>
      <c r="T1278">
        <v>816503540</v>
      </c>
    </row>
    <row r="1279" spans="1:20" x14ac:dyDescent="0.25">
      <c r="A1279">
        <v>668572</v>
      </c>
      <c r="B1279" t="s">
        <v>6191</v>
      </c>
      <c r="C1279" t="s">
        <v>6192</v>
      </c>
      <c r="D1279" t="s">
        <v>255</v>
      </c>
      <c r="E1279" t="s">
        <v>256</v>
      </c>
      <c r="F1279">
        <v>2013</v>
      </c>
      <c r="G1279" t="s">
        <v>2301</v>
      </c>
      <c r="H1279" t="s">
        <v>6193</v>
      </c>
      <c r="I1279" t="s">
        <v>6194</v>
      </c>
      <c r="J1279" t="s">
        <v>26</v>
      </c>
      <c r="K1279" t="s">
        <v>86</v>
      </c>
      <c r="L1279" t="b">
        <v>1</v>
      </c>
      <c r="M1279" t="s">
        <v>5572</v>
      </c>
      <c r="N1279" t="str">
        <f>"821.2"</f>
        <v>821.2</v>
      </c>
      <c r="P1279" t="b">
        <v>0</v>
      </c>
      <c r="S1279" t="str">
        <f>"9781775586500"</f>
        <v>9781775586500</v>
      </c>
      <c r="T1279">
        <v>868919945</v>
      </c>
    </row>
    <row r="1280" spans="1:20" x14ac:dyDescent="0.25">
      <c r="A1280">
        <v>668571</v>
      </c>
      <c r="B1280" t="s">
        <v>6195</v>
      </c>
      <c r="C1280" t="s">
        <v>6196</v>
      </c>
      <c r="D1280" t="s">
        <v>255</v>
      </c>
      <c r="E1280" t="s">
        <v>256</v>
      </c>
      <c r="F1280">
        <v>2013</v>
      </c>
      <c r="G1280" t="s">
        <v>4132</v>
      </c>
      <c r="H1280" t="s">
        <v>6197</v>
      </c>
      <c r="I1280" t="s">
        <v>6198</v>
      </c>
      <c r="J1280" t="s">
        <v>26</v>
      </c>
      <c r="K1280" t="s">
        <v>86</v>
      </c>
      <c r="L1280" t="b">
        <v>1</v>
      </c>
      <c r="M1280" t="s">
        <v>6199</v>
      </c>
      <c r="N1280" t="str">
        <f>"630.9937"</f>
        <v>630.9937</v>
      </c>
      <c r="P1280" t="b">
        <v>0</v>
      </c>
      <c r="S1280" t="str">
        <f>"9781775584971"</f>
        <v>9781775584971</v>
      </c>
      <c r="T1280">
        <v>864675703</v>
      </c>
    </row>
    <row r="1281" spans="1:20" x14ac:dyDescent="0.25">
      <c r="A1281">
        <v>668570</v>
      </c>
      <c r="B1281" t="s">
        <v>6200</v>
      </c>
      <c r="C1281" t="s">
        <v>6201</v>
      </c>
      <c r="D1281" t="s">
        <v>255</v>
      </c>
      <c r="E1281" t="s">
        <v>256</v>
      </c>
      <c r="F1281">
        <v>2010</v>
      </c>
      <c r="G1281" t="s">
        <v>1974</v>
      </c>
      <c r="H1281" t="s">
        <v>6202</v>
      </c>
      <c r="I1281" t="s">
        <v>6203</v>
      </c>
      <c r="J1281" t="s">
        <v>26</v>
      </c>
      <c r="K1281" t="s">
        <v>86</v>
      </c>
      <c r="L1281" t="b">
        <v>1</v>
      </c>
      <c r="M1281" t="s">
        <v>6204</v>
      </c>
      <c r="N1281" t="str">
        <f>"781.630993"</f>
        <v>781.630993</v>
      </c>
      <c r="P1281" t="b">
        <v>0</v>
      </c>
      <c r="S1281" t="str">
        <f>"9781775585145"</f>
        <v>9781775585145</v>
      </c>
      <c r="T1281">
        <v>864675794</v>
      </c>
    </row>
    <row r="1282" spans="1:20" x14ac:dyDescent="0.25">
      <c r="A1282">
        <v>668568</v>
      </c>
      <c r="B1282" t="s">
        <v>6205</v>
      </c>
      <c r="D1282" t="s">
        <v>255</v>
      </c>
      <c r="E1282" t="s">
        <v>256</v>
      </c>
      <c r="F1282">
        <v>2013</v>
      </c>
      <c r="G1282" t="s">
        <v>5597</v>
      </c>
      <c r="H1282" t="s">
        <v>6206</v>
      </c>
      <c r="I1282" t="s">
        <v>6207</v>
      </c>
      <c r="J1282" t="s">
        <v>26</v>
      </c>
      <c r="K1282" t="s">
        <v>86</v>
      </c>
      <c r="L1282" t="b">
        <v>1</v>
      </c>
      <c r="M1282" t="s">
        <v>6208</v>
      </c>
      <c r="N1282" t="str">
        <f>"770.92"</f>
        <v>770.92</v>
      </c>
      <c r="P1282" t="b">
        <v>0</v>
      </c>
      <c r="S1282" t="str">
        <f>"9781775586111"</f>
        <v>9781775586111</v>
      </c>
      <c r="T1282">
        <v>868984202</v>
      </c>
    </row>
    <row r="1283" spans="1:20" x14ac:dyDescent="0.25">
      <c r="A1283">
        <v>668564</v>
      </c>
      <c r="B1283" t="s">
        <v>6209</v>
      </c>
      <c r="C1283" t="s">
        <v>6210</v>
      </c>
      <c r="D1283" t="s">
        <v>255</v>
      </c>
      <c r="E1283" t="s">
        <v>256</v>
      </c>
      <c r="F1283">
        <v>2013</v>
      </c>
      <c r="G1283" t="s">
        <v>213</v>
      </c>
      <c r="H1283" t="s">
        <v>6211</v>
      </c>
      <c r="I1283" t="s">
        <v>6212</v>
      </c>
      <c r="J1283" t="s">
        <v>26</v>
      </c>
      <c r="K1283" t="s">
        <v>86</v>
      </c>
      <c r="L1283" t="b">
        <v>1</v>
      </c>
      <c r="M1283" t="s">
        <v>6213</v>
      </c>
      <c r="N1283" t="str">
        <f>"079.9324"</f>
        <v>079.9324</v>
      </c>
      <c r="P1283" t="b">
        <v>0</v>
      </c>
      <c r="S1283" t="str">
        <f>"9781775585466"</f>
        <v>9781775585466</v>
      </c>
      <c r="T1283">
        <v>863822585</v>
      </c>
    </row>
    <row r="1284" spans="1:20" x14ac:dyDescent="0.25">
      <c r="A1284">
        <v>668563</v>
      </c>
      <c r="B1284" t="s">
        <v>6214</v>
      </c>
      <c r="D1284" t="s">
        <v>255</v>
      </c>
      <c r="E1284" t="s">
        <v>256</v>
      </c>
      <c r="F1284">
        <v>2013</v>
      </c>
      <c r="G1284" t="s">
        <v>2301</v>
      </c>
      <c r="H1284" t="s">
        <v>6215</v>
      </c>
      <c r="I1284" t="s">
        <v>2312</v>
      </c>
      <c r="J1284" t="s">
        <v>26</v>
      </c>
      <c r="K1284" t="s">
        <v>86</v>
      </c>
      <c r="L1284" t="b">
        <v>1</v>
      </c>
      <c r="M1284" t="s">
        <v>5698</v>
      </c>
      <c r="N1284" t="str">
        <f>"821/.914;811.52"</f>
        <v>821/.914;811.52</v>
      </c>
      <c r="P1284" t="b">
        <v>0</v>
      </c>
      <c r="S1284" t="str">
        <f>"9781775586326"</f>
        <v>9781775586326</v>
      </c>
      <c r="T1284">
        <v>865330099</v>
      </c>
    </row>
    <row r="1285" spans="1:20" x14ac:dyDescent="0.25">
      <c r="A1285">
        <v>668562</v>
      </c>
      <c r="B1285" t="s">
        <v>6216</v>
      </c>
      <c r="C1285" t="s">
        <v>6217</v>
      </c>
      <c r="D1285" t="s">
        <v>255</v>
      </c>
      <c r="E1285" t="s">
        <v>256</v>
      </c>
      <c r="F1285">
        <v>2013</v>
      </c>
      <c r="G1285" t="s">
        <v>712</v>
      </c>
      <c r="H1285" t="s">
        <v>6218</v>
      </c>
      <c r="J1285" t="s">
        <v>26</v>
      </c>
      <c r="K1285" t="s">
        <v>86</v>
      </c>
      <c r="L1285" t="b">
        <v>1</v>
      </c>
      <c r="M1285" t="s">
        <v>6219</v>
      </c>
      <c r="N1285" t="str">
        <f>"993.035"</f>
        <v>993.035</v>
      </c>
      <c r="P1285" t="b">
        <v>0</v>
      </c>
      <c r="S1285" t="str">
        <f>"9781775585251"</f>
        <v>9781775585251</v>
      </c>
      <c r="T1285">
        <v>873807321</v>
      </c>
    </row>
    <row r="1286" spans="1:20" x14ac:dyDescent="0.25">
      <c r="A1286">
        <v>668561</v>
      </c>
      <c r="B1286" t="s">
        <v>6220</v>
      </c>
      <c r="C1286" t="s">
        <v>6221</v>
      </c>
      <c r="D1286" t="s">
        <v>255</v>
      </c>
      <c r="E1286" t="s">
        <v>256</v>
      </c>
      <c r="F1286">
        <v>2013</v>
      </c>
      <c r="G1286" t="s">
        <v>712</v>
      </c>
      <c r="H1286" t="s">
        <v>6222</v>
      </c>
      <c r="J1286" t="s">
        <v>26</v>
      </c>
      <c r="K1286" t="s">
        <v>27</v>
      </c>
      <c r="L1286" t="b">
        <v>1</v>
      </c>
      <c r="M1286" t="s">
        <v>5715</v>
      </c>
      <c r="N1286" t="str">
        <f>"327.93073"</f>
        <v>327.93073</v>
      </c>
      <c r="P1286" t="b">
        <v>0</v>
      </c>
      <c r="S1286" t="str">
        <f>"9781775585510"</f>
        <v>9781775585510</v>
      </c>
      <c r="T1286">
        <v>864382362</v>
      </c>
    </row>
    <row r="1287" spans="1:20" x14ac:dyDescent="0.25">
      <c r="A1287">
        <v>668559</v>
      </c>
      <c r="B1287" t="s">
        <v>6223</v>
      </c>
      <c r="C1287" t="s">
        <v>6224</v>
      </c>
      <c r="D1287" t="s">
        <v>255</v>
      </c>
      <c r="E1287" t="s">
        <v>256</v>
      </c>
      <c r="F1287">
        <v>1999</v>
      </c>
      <c r="G1287" t="s">
        <v>712</v>
      </c>
      <c r="H1287" t="s">
        <v>6225</v>
      </c>
      <c r="I1287" t="s">
        <v>6226</v>
      </c>
      <c r="J1287" t="s">
        <v>26</v>
      </c>
      <c r="K1287" t="s">
        <v>86</v>
      </c>
      <c r="L1287" t="b">
        <v>1</v>
      </c>
      <c r="M1287" t="s">
        <v>6227</v>
      </c>
      <c r="N1287" t="str">
        <f>"320/.6/0993"</f>
        <v>320/.6/0993</v>
      </c>
      <c r="P1287" t="b">
        <v>0</v>
      </c>
      <c r="S1287" t="str">
        <f>"9781775586715"</f>
        <v>9781775586715</v>
      </c>
      <c r="T1287">
        <v>864675517</v>
      </c>
    </row>
    <row r="1288" spans="1:20" x14ac:dyDescent="0.25">
      <c r="A1288">
        <v>668557</v>
      </c>
      <c r="B1288" t="s">
        <v>6228</v>
      </c>
      <c r="C1288" t="s">
        <v>6229</v>
      </c>
      <c r="D1288" t="s">
        <v>255</v>
      </c>
      <c r="E1288" t="s">
        <v>256</v>
      </c>
      <c r="F1288">
        <v>2013</v>
      </c>
      <c r="G1288" t="s">
        <v>712</v>
      </c>
      <c r="H1288" t="s">
        <v>6230</v>
      </c>
      <c r="I1288" t="s">
        <v>6231</v>
      </c>
      <c r="J1288" t="s">
        <v>26</v>
      </c>
      <c r="K1288" t="s">
        <v>86</v>
      </c>
      <c r="L1288" t="b">
        <v>1</v>
      </c>
      <c r="M1288" t="s">
        <v>6232</v>
      </c>
      <c r="N1288" t="str">
        <f>"306.8460993"</f>
        <v>306.8460993</v>
      </c>
      <c r="P1288" t="b">
        <v>0</v>
      </c>
      <c r="S1288" t="str">
        <f>"9781775585916"</f>
        <v>9781775585916</v>
      </c>
      <c r="T1288">
        <v>864675582</v>
      </c>
    </row>
    <row r="1289" spans="1:20" x14ac:dyDescent="0.25">
      <c r="A1289">
        <v>668556</v>
      </c>
      <c r="B1289" t="s">
        <v>6233</v>
      </c>
      <c r="C1289" t="s">
        <v>6234</v>
      </c>
      <c r="D1289" t="s">
        <v>255</v>
      </c>
      <c r="E1289" t="s">
        <v>256</v>
      </c>
      <c r="F1289">
        <v>2013</v>
      </c>
      <c r="G1289" t="s">
        <v>6235</v>
      </c>
      <c r="H1289" t="s">
        <v>6236</v>
      </c>
      <c r="I1289" t="s">
        <v>6237</v>
      </c>
      <c r="J1289" t="s">
        <v>26</v>
      </c>
      <c r="K1289" t="s">
        <v>86</v>
      </c>
      <c r="L1289" t="b">
        <v>1</v>
      </c>
      <c r="M1289" t="s">
        <v>6238</v>
      </c>
      <c r="N1289" t="str">
        <f>"364.10660993"</f>
        <v>364.10660993</v>
      </c>
      <c r="P1289" t="b">
        <v>0</v>
      </c>
      <c r="S1289" t="str">
        <f>"9781775586012"</f>
        <v>9781775586012</v>
      </c>
      <c r="T1289">
        <v>864675525</v>
      </c>
    </row>
    <row r="1290" spans="1:20" x14ac:dyDescent="0.25">
      <c r="A1290">
        <v>667220</v>
      </c>
      <c r="B1290" t="s">
        <v>6239</v>
      </c>
      <c r="D1290" t="s">
        <v>5731</v>
      </c>
      <c r="E1290" t="s">
        <v>6240</v>
      </c>
      <c r="F1290">
        <v>2002</v>
      </c>
      <c r="G1290" t="s">
        <v>6241</v>
      </c>
      <c r="H1290" t="s">
        <v>6242</v>
      </c>
      <c r="I1290" t="s">
        <v>6243</v>
      </c>
      <c r="J1290" t="s">
        <v>26</v>
      </c>
      <c r="K1290" t="s">
        <v>86</v>
      </c>
      <c r="L1290" t="b">
        <v>1</v>
      </c>
      <c r="M1290" t="s">
        <v>6244</v>
      </c>
      <c r="N1290" t="str">
        <f>"341.24/9/096703"</f>
        <v>341.24/9/096703</v>
      </c>
      <c r="O1290" t="s">
        <v>6245</v>
      </c>
      <c r="P1290" t="b">
        <v>0</v>
      </c>
      <c r="R1290" t="str">
        <f>"9780810842571"</f>
        <v>9780810842571</v>
      </c>
      <c r="S1290" t="str">
        <f>"9781461706694"</f>
        <v>9781461706694</v>
      </c>
      <c r="T1290">
        <v>864140050</v>
      </c>
    </row>
    <row r="1291" spans="1:20" x14ac:dyDescent="0.25">
      <c r="A1291">
        <v>662931</v>
      </c>
      <c r="B1291" t="s">
        <v>6246</v>
      </c>
      <c r="D1291" t="s">
        <v>5737</v>
      </c>
      <c r="E1291" t="s">
        <v>5738</v>
      </c>
      <c r="F1291">
        <v>2005</v>
      </c>
      <c r="G1291" t="s">
        <v>6247</v>
      </c>
      <c r="H1291" t="s">
        <v>6248</v>
      </c>
      <c r="I1291" t="s">
        <v>6249</v>
      </c>
      <c r="J1291" t="s">
        <v>26</v>
      </c>
      <c r="K1291" t="s">
        <v>27</v>
      </c>
      <c r="L1291" t="b">
        <v>1</v>
      </c>
      <c r="M1291" t="s">
        <v>6250</v>
      </c>
      <c r="N1291" t="str">
        <f>"613.2/84"</f>
        <v>613.2/84</v>
      </c>
      <c r="P1291" t="b">
        <v>0</v>
      </c>
      <c r="Q1291" t="b">
        <v>0</v>
      </c>
      <c r="R1291" t="str">
        <f>"9781893997523"</f>
        <v>9781893997523</v>
      </c>
      <c r="S1291" t="str">
        <f>"9780988856547"</f>
        <v>9780988856547</v>
      </c>
      <c r="T1291">
        <v>863158404</v>
      </c>
    </row>
    <row r="1292" spans="1:20" x14ac:dyDescent="0.25">
      <c r="A1292">
        <v>662842</v>
      </c>
      <c r="B1292" t="s">
        <v>6251</v>
      </c>
      <c r="D1292" t="s">
        <v>203</v>
      </c>
      <c r="E1292" t="s">
        <v>1109</v>
      </c>
      <c r="F1292">
        <v>2013</v>
      </c>
      <c r="G1292" t="s">
        <v>1110</v>
      </c>
      <c r="H1292" t="s">
        <v>6252</v>
      </c>
      <c r="I1292" t="s">
        <v>6253</v>
      </c>
      <c r="J1292" t="s">
        <v>26</v>
      </c>
      <c r="K1292" t="s">
        <v>86</v>
      </c>
      <c r="L1292" t="b">
        <v>1</v>
      </c>
      <c r="M1292" t="s">
        <v>6254</v>
      </c>
      <c r="N1292" t="str">
        <f>"616.89"</f>
        <v>616.89</v>
      </c>
      <c r="P1292" t="b">
        <v>0</v>
      </c>
      <c r="R1292" t="str">
        <f>"9781909726062"</f>
        <v>9781909726062</v>
      </c>
      <c r="S1292" t="str">
        <f>"9781909726086"</f>
        <v>9781909726086</v>
      </c>
      <c r="T1292">
        <v>864675648</v>
      </c>
    </row>
    <row r="1293" spans="1:20" x14ac:dyDescent="0.25">
      <c r="A1293">
        <v>661752</v>
      </c>
      <c r="B1293" t="s">
        <v>6255</v>
      </c>
      <c r="C1293" t="s">
        <v>6256</v>
      </c>
      <c r="D1293" t="s">
        <v>1364</v>
      </c>
      <c r="E1293" t="s">
        <v>1364</v>
      </c>
      <c r="F1293">
        <v>2013</v>
      </c>
      <c r="G1293" t="s">
        <v>1110</v>
      </c>
      <c r="H1293" t="s">
        <v>6257</v>
      </c>
      <c r="I1293" t="s">
        <v>6258</v>
      </c>
      <c r="J1293" t="s">
        <v>26</v>
      </c>
      <c r="K1293" t="s">
        <v>27</v>
      </c>
      <c r="L1293" t="b">
        <v>1</v>
      </c>
      <c r="M1293" t="s">
        <v>6259</v>
      </c>
      <c r="N1293" t="str">
        <f>"616.8900835"</f>
        <v>616.8900835</v>
      </c>
      <c r="O1293" t="s">
        <v>6260</v>
      </c>
      <c r="P1293" t="b">
        <v>0</v>
      </c>
      <c r="R1293" t="str">
        <f>"9783110316568"</f>
        <v>9783110316568</v>
      </c>
      <c r="S1293" t="str">
        <f>"9783110316612"</f>
        <v>9783110316612</v>
      </c>
      <c r="T1293">
        <v>864552205</v>
      </c>
    </row>
    <row r="1294" spans="1:20" x14ac:dyDescent="0.25">
      <c r="A1294">
        <v>660550</v>
      </c>
      <c r="B1294" t="s">
        <v>6261</v>
      </c>
      <c r="C1294" t="s">
        <v>6262</v>
      </c>
      <c r="D1294" t="s">
        <v>131</v>
      </c>
      <c r="E1294" t="s">
        <v>1737</v>
      </c>
      <c r="F1294">
        <v>2013</v>
      </c>
      <c r="G1294" t="s">
        <v>4132</v>
      </c>
      <c r="H1294" t="s">
        <v>6263</v>
      </c>
      <c r="I1294" t="s">
        <v>6264</v>
      </c>
      <c r="J1294" t="s">
        <v>26</v>
      </c>
      <c r="K1294" t="s">
        <v>86</v>
      </c>
      <c r="L1294" t="b">
        <v>1</v>
      </c>
      <c r="M1294" t="s">
        <v>6265</v>
      </c>
      <c r="N1294" t="str">
        <f>"363.73874"</f>
        <v>363.73874</v>
      </c>
      <c r="O1294" t="s">
        <v>6266</v>
      </c>
      <c r="P1294" t="b">
        <v>0</v>
      </c>
      <c r="R1294" t="str">
        <f>"9781771640077"</f>
        <v>9781771640077</v>
      </c>
      <c r="S1294" t="str">
        <f>"9781771640084"</f>
        <v>9781771640084</v>
      </c>
      <c r="T1294">
        <v>868798431</v>
      </c>
    </row>
    <row r="1295" spans="1:20" x14ac:dyDescent="0.25">
      <c r="A1295">
        <v>656788</v>
      </c>
      <c r="B1295" t="s">
        <v>6267</v>
      </c>
      <c r="C1295" t="s">
        <v>6268</v>
      </c>
      <c r="D1295" t="s">
        <v>6269</v>
      </c>
      <c r="E1295" t="s">
        <v>6269</v>
      </c>
      <c r="F1295">
        <v>2013</v>
      </c>
      <c r="G1295" t="s">
        <v>6270</v>
      </c>
      <c r="H1295" t="s">
        <v>6271</v>
      </c>
      <c r="I1295" t="s">
        <v>6272</v>
      </c>
      <c r="J1295" t="s">
        <v>26</v>
      </c>
      <c r="K1295" t="s">
        <v>27</v>
      </c>
      <c r="L1295" t="b">
        <v>1</v>
      </c>
      <c r="M1295" t="s">
        <v>6273</v>
      </c>
      <c r="N1295" t="str">
        <f>"005.13/3"</f>
        <v>005.13/3</v>
      </c>
      <c r="P1295" t="b">
        <v>0</v>
      </c>
      <c r="R1295" t="str">
        <f>"9781612900278"</f>
        <v>9781612900278</v>
      </c>
      <c r="S1295" t="str">
        <f>"9781612907345"</f>
        <v>9781612907345</v>
      </c>
      <c r="T1295">
        <v>865546189</v>
      </c>
    </row>
    <row r="1296" spans="1:20" x14ac:dyDescent="0.25">
      <c r="A1296">
        <v>655226</v>
      </c>
      <c r="B1296" t="s">
        <v>6274</v>
      </c>
      <c r="C1296" t="s">
        <v>6275</v>
      </c>
      <c r="D1296" t="s">
        <v>1151</v>
      </c>
      <c r="E1296" t="s">
        <v>6276</v>
      </c>
      <c r="F1296">
        <v>2013</v>
      </c>
      <c r="G1296" t="s">
        <v>6277</v>
      </c>
      <c r="H1296" t="s">
        <v>6278</v>
      </c>
      <c r="I1296" t="s">
        <v>6279</v>
      </c>
      <c r="J1296" t="s">
        <v>26</v>
      </c>
      <c r="K1296" t="s">
        <v>48</v>
      </c>
      <c r="L1296" t="b">
        <v>1</v>
      </c>
      <c r="M1296" t="s">
        <v>6280</v>
      </c>
      <c r="N1296" t="str">
        <f>"551.46092;B"</f>
        <v>551.46092;B</v>
      </c>
      <c r="P1296" t="b">
        <v>0</v>
      </c>
      <c r="R1296" t="str">
        <f>"9781611458954"</f>
        <v>9781611458954</v>
      </c>
      <c r="S1296" t="str">
        <f>"9781628723007"</f>
        <v>9781628723007</v>
      </c>
      <c r="T1296">
        <v>861212462</v>
      </c>
    </row>
    <row r="1297" spans="1:20" x14ac:dyDescent="0.25">
      <c r="A1297">
        <v>655169</v>
      </c>
      <c r="B1297" t="s">
        <v>6281</v>
      </c>
      <c r="D1297" t="s">
        <v>123</v>
      </c>
      <c r="E1297" t="s">
        <v>1706</v>
      </c>
      <c r="F1297">
        <v>2011</v>
      </c>
      <c r="G1297" t="s">
        <v>6282</v>
      </c>
      <c r="H1297" t="s">
        <v>6283</v>
      </c>
      <c r="I1297" t="s">
        <v>6284</v>
      </c>
      <c r="J1297" t="s">
        <v>26</v>
      </c>
      <c r="K1297" t="s">
        <v>48</v>
      </c>
      <c r="L1297" t="b">
        <v>1</v>
      </c>
      <c r="M1297" t="s">
        <v>6285</v>
      </c>
      <c r="N1297" t="str">
        <f>"794.8/09"</f>
        <v>794.8/09</v>
      </c>
      <c r="P1297" t="b">
        <v>0</v>
      </c>
      <c r="S1297" t="str">
        <f>"9781628722246"</f>
        <v>9781628722246</v>
      </c>
      <c r="T1297">
        <v>855504168</v>
      </c>
    </row>
    <row r="1298" spans="1:20" x14ac:dyDescent="0.25">
      <c r="A1298">
        <v>654995</v>
      </c>
      <c r="B1298" t="s">
        <v>6286</v>
      </c>
      <c r="C1298" t="s">
        <v>6287</v>
      </c>
      <c r="D1298" t="s">
        <v>123</v>
      </c>
      <c r="E1298" t="s">
        <v>1706</v>
      </c>
      <c r="F1298">
        <v>2011</v>
      </c>
      <c r="G1298" t="s">
        <v>1220</v>
      </c>
      <c r="H1298" t="s">
        <v>6288</v>
      </c>
      <c r="I1298" t="s">
        <v>6289</v>
      </c>
      <c r="J1298" t="s">
        <v>26</v>
      </c>
      <c r="K1298" t="s">
        <v>48</v>
      </c>
      <c r="L1298" t="b">
        <v>1</v>
      </c>
      <c r="M1298" t="s">
        <v>6290</v>
      </c>
      <c r="N1298" t="str">
        <f>"420.9"</f>
        <v>420.9</v>
      </c>
      <c r="P1298" t="b">
        <v>0</v>
      </c>
      <c r="R1298" t="str">
        <f>"9781611450071"</f>
        <v>9781611450071</v>
      </c>
      <c r="S1298" t="str">
        <f>"9781628720242"</f>
        <v>9781628720242</v>
      </c>
      <c r="T1298">
        <v>854976709</v>
      </c>
    </row>
    <row r="1299" spans="1:20" x14ac:dyDescent="0.25">
      <c r="A1299">
        <v>654964</v>
      </c>
      <c r="B1299" t="s">
        <v>6291</v>
      </c>
      <c r="D1299" t="s">
        <v>123</v>
      </c>
      <c r="E1299" t="s">
        <v>1706</v>
      </c>
      <c r="F1299">
        <v>2011</v>
      </c>
      <c r="G1299" t="s">
        <v>57</v>
      </c>
      <c r="H1299" t="s">
        <v>6292</v>
      </c>
      <c r="I1299" t="s">
        <v>6293</v>
      </c>
      <c r="J1299" t="s">
        <v>26</v>
      </c>
      <c r="K1299" t="s">
        <v>48</v>
      </c>
      <c r="L1299" t="b">
        <v>1</v>
      </c>
      <c r="M1299" t="s">
        <v>6294</v>
      </c>
      <c r="N1299" t="str">
        <f>"302.2/244"</f>
        <v>302.2/244</v>
      </c>
      <c r="P1299" t="b">
        <v>0</v>
      </c>
      <c r="S1299" t="str">
        <f>"9781611459845"</f>
        <v>9781611459845</v>
      </c>
      <c r="T1299">
        <v>828934551</v>
      </c>
    </row>
    <row r="1300" spans="1:20" x14ac:dyDescent="0.25">
      <c r="A1300">
        <v>654930</v>
      </c>
      <c r="B1300" t="s">
        <v>6295</v>
      </c>
      <c r="D1300" t="s">
        <v>123</v>
      </c>
      <c r="E1300" t="s">
        <v>1706</v>
      </c>
      <c r="F1300">
        <v>2013</v>
      </c>
      <c r="G1300" t="s">
        <v>6296</v>
      </c>
      <c r="H1300" t="s">
        <v>6297</v>
      </c>
      <c r="I1300" t="s">
        <v>6298</v>
      </c>
      <c r="J1300" t="s">
        <v>26</v>
      </c>
      <c r="K1300" t="s">
        <v>48</v>
      </c>
      <c r="L1300" t="b">
        <v>1</v>
      </c>
      <c r="M1300" t="s">
        <v>6299</v>
      </c>
      <c r="N1300" t="str">
        <f>"709.04"</f>
        <v>709.04</v>
      </c>
      <c r="P1300" t="b">
        <v>0</v>
      </c>
      <c r="R1300" t="str">
        <f>"9781611457551"</f>
        <v>9781611457551</v>
      </c>
      <c r="S1300" t="str">
        <f>"9781611459425"</f>
        <v>9781611459425</v>
      </c>
      <c r="T1300">
        <v>854976404</v>
      </c>
    </row>
    <row r="1301" spans="1:20" x14ac:dyDescent="0.25">
      <c r="A1301">
        <v>654926</v>
      </c>
      <c r="B1301" t="s">
        <v>6300</v>
      </c>
      <c r="C1301" t="s">
        <v>6301</v>
      </c>
      <c r="D1301" t="s">
        <v>123</v>
      </c>
      <c r="E1301" t="s">
        <v>1706</v>
      </c>
      <c r="F1301">
        <v>2013</v>
      </c>
      <c r="G1301" t="s">
        <v>1879</v>
      </c>
      <c r="H1301" t="s">
        <v>6302</v>
      </c>
      <c r="I1301" t="s">
        <v>6303</v>
      </c>
      <c r="J1301" t="s">
        <v>26</v>
      </c>
      <c r="K1301" t="s">
        <v>48</v>
      </c>
      <c r="L1301" t="b">
        <v>1</v>
      </c>
      <c r="M1301" t="s">
        <v>5763</v>
      </c>
      <c r="N1301" t="str">
        <f>"813/.54"</f>
        <v>813/.54</v>
      </c>
      <c r="P1301" t="b">
        <v>1</v>
      </c>
      <c r="R1301" t="str">
        <f>"9781611458343"</f>
        <v>9781611458343</v>
      </c>
      <c r="S1301" t="str">
        <f>"9781611459340"</f>
        <v>9781611459340</v>
      </c>
      <c r="T1301">
        <v>852252717</v>
      </c>
    </row>
    <row r="1302" spans="1:20" x14ac:dyDescent="0.25">
      <c r="A1302">
        <v>654911</v>
      </c>
      <c r="B1302" t="s">
        <v>6304</v>
      </c>
      <c r="D1302" t="s">
        <v>123</v>
      </c>
      <c r="E1302" t="s">
        <v>1706</v>
      </c>
      <c r="F1302">
        <v>2012</v>
      </c>
      <c r="G1302" t="s">
        <v>6296</v>
      </c>
      <c r="H1302" t="s">
        <v>6305</v>
      </c>
      <c r="I1302" t="s">
        <v>6306</v>
      </c>
      <c r="J1302" t="s">
        <v>26</v>
      </c>
      <c r="K1302" t="s">
        <v>48</v>
      </c>
      <c r="L1302" t="b">
        <v>1</v>
      </c>
      <c r="M1302" t="s">
        <v>6307</v>
      </c>
      <c r="N1302" t="str">
        <f>"709"</f>
        <v>709</v>
      </c>
      <c r="P1302" t="b">
        <v>0</v>
      </c>
      <c r="R1302" t="str">
        <f>"9781611457698"</f>
        <v>9781611457698</v>
      </c>
      <c r="S1302" t="str">
        <f>"9781611458602"</f>
        <v>9781611458602</v>
      </c>
      <c r="T1302">
        <v>829027758</v>
      </c>
    </row>
    <row r="1303" spans="1:20" x14ac:dyDescent="0.25">
      <c r="A1303">
        <v>654473</v>
      </c>
      <c r="B1303" t="s">
        <v>6308</v>
      </c>
      <c r="D1303" t="s">
        <v>22</v>
      </c>
      <c r="E1303" t="s">
        <v>22</v>
      </c>
      <c r="F1303">
        <v>2013</v>
      </c>
      <c r="G1303" t="s">
        <v>31</v>
      </c>
      <c r="H1303" t="s">
        <v>6309</v>
      </c>
      <c r="I1303" t="s">
        <v>6310</v>
      </c>
      <c r="J1303" t="s">
        <v>26</v>
      </c>
      <c r="K1303" t="s">
        <v>27</v>
      </c>
      <c r="L1303" t="b">
        <v>1</v>
      </c>
      <c r="M1303" t="s">
        <v>6311</v>
      </c>
      <c r="N1303" t="str">
        <f>"709.04/07"</f>
        <v>709.04/07</v>
      </c>
      <c r="O1303" t="s">
        <v>5355</v>
      </c>
      <c r="P1303" t="b">
        <v>0</v>
      </c>
      <c r="Q1303" t="b">
        <v>0</v>
      </c>
      <c r="R1303" t="str">
        <f>"9789089644718"</f>
        <v>9789089644718</v>
      </c>
      <c r="S1303" t="str">
        <f>"9789048517763"</f>
        <v>9789048517763</v>
      </c>
      <c r="T1303">
        <v>861693429</v>
      </c>
    </row>
    <row r="1304" spans="1:20" x14ac:dyDescent="0.25">
      <c r="A1304">
        <v>651913</v>
      </c>
      <c r="B1304" t="s">
        <v>6312</v>
      </c>
      <c r="C1304" t="s">
        <v>6313</v>
      </c>
      <c r="D1304" t="s">
        <v>123</v>
      </c>
      <c r="E1304" t="s">
        <v>219</v>
      </c>
      <c r="F1304">
        <v>2003</v>
      </c>
      <c r="G1304" t="s">
        <v>862</v>
      </c>
      <c r="H1304" t="s">
        <v>6314</v>
      </c>
      <c r="I1304" t="s">
        <v>6315</v>
      </c>
      <c r="J1304" t="s">
        <v>26</v>
      </c>
      <c r="K1304" t="s">
        <v>48</v>
      </c>
      <c r="L1304" t="b">
        <v>1</v>
      </c>
      <c r="M1304" t="s">
        <v>6316</v>
      </c>
      <c r="N1304" t="str">
        <f>"294.3/444"</f>
        <v>294.3/444</v>
      </c>
      <c r="P1304" t="b">
        <v>0</v>
      </c>
      <c r="Q1304" t="b">
        <v>0</v>
      </c>
      <c r="R1304" t="str">
        <f>"9780861713462"</f>
        <v>9780861713462</v>
      </c>
      <c r="S1304" t="str">
        <f>"9780861717477"</f>
        <v>9780861717477</v>
      </c>
      <c r="T1304">
        <v>868952577</v>
      </c>
    </row>
    <row r="1305" spans="1:20" x14ac:dyDescent="0.25">
      <c r="A1305">
        <v>649226</v>
      </c>
      <c r="B1305" t="s">
        <v>6317</v>
      </c>
      <c r="D1305" t="s">
        <v>131</v>
      </c>
      <c r="E1305" t="s">
        <v>4217</v>
      </c>
      <c r="F1305">
        <v>2013</v>
      </c>
      <c r="G1305" t="s">
        <v>4822</v>
      </c>
      <c r="H1305" t="s">
        <v>6318</v>
      </c>
      <c r="I1305" t="s">
        <v>6319</v>
      </c>
      <c r="J1305" t="s">
        <v>26</v>
      </c>
      <c r="K1305" t="s">
        <v>48</v>
      </c>
      <c r="L1305" t="b">
        <v>1</v>
      </c>
      <c r="M1305" t="s">
        <v>6320</v>
      </c>
      <c r="N1305" t="str">
        <f>"610.7306/9"</f>
        <v>610.7306/9</v>
      </c>
      <c r="P1305" t="b">
        <v>1</v>
      </c>
      <c r="R1305" t="str">
        <f>"9781937163129"</f>
        <v>9781937163129</v>
      </c>
      <c r="S1305" t="str">
        <f>"9781937163136"</f>
        <v>9781937163136</v>
      </c>
      <c r="T1305">
        <v>858879645</v>
      </c>
    </row>
    <row r="1306" spans="1:20" x14ac:dyDescent="0.25">
      <c r="A1306">
        <v>649203</v>
      </c>
      <c r="B1306" t="s">
        <v>6321</v>
      </c>
      <c r="C1306" t="s">
        <v>6322</v>
      </c>
      <c r="D1306" t="s">
        <v>1151</v>
      </c>
      <c r="E1306" t="s">
        <v>6323</v>
      </c>
      <c r="F1306">
        <v>2013</v>
      </c>
      <c r="G1306" t="s">
        <v>804</v>
      </c>
      <c r="H1306" t="s">
        <v>6324</v>
      </c>
      <c r="I1306" t="s">
        <v>6325</v>
      </c>
      <c r="J1306" t="s">
        <v>26</v>
      </c>
      <c r="K1306" t="s">
        <v>48</v>
      </c>
      <c r="L1306" t="b">
        <v>1</v>
      </c>
      <c r="M1306" t="s">
        <v>6326</v>
      </c>
      <c r="N1306" t="str">
        <f>"306.4"</f>
        <v>306.4</v>
      </c>
      <c r="O1306" t="s">
        <v>6327</v>
      </c>
      <c r="P1306" t="b">
        <v>0</v>
      </c>
      <c r="R1306" t="str">
        <f>"9781770893238"</f>
        <v>9781770893238</v>
      </c>
      <c r="S1306" t="str">
        <f>"9781770893245"</f>
        <v>9781770893245</v>
      </c>
      <c r="T1306">
        <v>851897405</v>
      </c>
    </row>
    <row r="1307" spans="1:20" x14ac:dyDescent="0.25">
      <c r="A1307">
        <v>649134</v>
      </c>
      <c r="B1307" t="s">
        <v>6328</v>
      </c>
      <c r="D1307" t="s">
        <v>6329</v>
      </c>
      <c r="E1307" t="s">
        <v>6330</v>
      </c>
      <c r="F1307">
        <v>2012</v>
      </c>
      <c r="G1307" t="s">
        <v>1644</v>
      </c>
      <c r="H1307" t="s">
        <v>6331</v>
      </c>
      <c r="I1307" t="s">
        <v>6332</v>
      </c>
      <c r="J1307" t="s">
        <v>503</v>
      </c>
      <c r="K1307" t="s">
        <v>86</v>
      </c>
      <c r="L1307" t="b">
        <v>1</v>
      </c>
      <c r="M1307" t="s">
        <v>6333</v>
      </c>
      <c r="N1307" t="str">
        <f>"791.068"</f>
        <v>791.068</v>
      </c>
      <c r="O1307" t="s">
        <v>6334</v>
      </c>
      <c r="P1307" t="b">
        <v>0</v>
      </c>
      <c r="R1307" t="str">
        <f>"9782923717692"</f>
        <v>9782923717692</v>
      </c>
      <c r="S1307" t="str">
        <f>"9781461947479"</f>
        <v>9781461947479</v>
      </c>
      <c r="T1307">
        <v>866808188</v>
      </c>
    </row>
    <row r="1308" spans="1:20" x14ac:dyDescent="0.25">
      <c r="A1308">
        <v>649010</v>
      </c>
      <c r="B1308" t="s">
        <v>6335</v>
      </c>
      <c r="C1308" t="s">
        <v>6336</v>
      </c>
      <c r="D1308" t="s">
        <v>123</v>
      </c>
      <c r="E1308" t="s">
        <v>124</v>
      </c>
      <c r="F1308">
        <v>2012</v>
      </c>
      <c r="G1308" t="s">
        <v>695</v>
      </c>
      <c r="H1308" t="s">
        <v>6337</v>
      </c>
      <c r="I1308" t="s">
        <v>6338</v>
      </c>
      <c r="J1308" t="s">
        <v>26</v>
      </c>
      <c r="K1308" t="s">
        <v>48</v>
      </c>
      <c r="L1308" t="b">
        <v>1</v>
      </c>
      <c r="M1308" t="s">
        <v>6339</v>
      </c>
      <c r="N1308" t="str">
        <f>"782.42164/092"</f>
        <v>782.42164/092</v>
      </c>
      <c r="P1308" t="b">
        <v>0</v>
      </c>
      <c r="R1308" t="str">
        <f>"9781620872543"</f>
        <v>9781620872543</v>
      </c>
      <c r="S1308" t="str">
        <f>"9781620872574"</f>
        <v>9781620872574</v>
      </c>
      <c r="T1308">
        <v>798937310</v>
      </c>
    </row>
    <row r="1309" spans="1:20" x14ac:dyDescent="0.25">
      <c r="A1309">
        <v>648979</v>
      </c>
      <c r="B1309" t="s">
        <v>6340</v>
      </c>
      <c r="C1309" t="s">
        <v>6341</v>
      </c>
      <c r="D1309" t="s">
        <v>123</v>
      </c>
      <c r="E1309" t="s">
        <v>124</v>
      </c>
      <c r="F1309">
        <v>2012</v>
      </c>
      <c r="G1309" t="s">
        <v>6342</v>
      </c>
      <c r="H1309" t="s">
        <v>6343</v>
      </c>
      <c r="I1309" t="s">
        <v>6344</v>
      </c>
      <c r="J1309" t="s">
        <v>26</v>
      </c>
      <c r="K1309" t="s">
        <v>48</v>
      </c>
      <c r="L1309" t="b">
        <v>1</v>
      </c>
      <c r="M1309" t="s">
        <v>6345</v>
      </c>
      <c r="N1309" t="str">
        <f>"500"</f>
        <v>500</v>
      </c>
      <c r="P1309" t="b">
        <v>0</v>
      </c>
      <c r="R1309" t="str">
        <f>"9781616085759"</f>
        <v>9781616085759</v>
      </c>
      <c r="S1309" t="str">
        <f>"9781620873571"</f>
        <v>9781620873571</v>
      </c>
      <c r="T1309">
        <v>809667374</v>
      </c>
    </row>
    <row r="1310" spans="1:20" x14ac:dyDescent="0.25">
      <c r="A1310">
        <v>648968</v>
      </c>
      <c r="B1310" t="s">
        <v>6346</v>
      </c>
      <c r="C1310" t="s">
        <v>6347</v>
      </c>
      <c r="D1310" t="s">
        <v>123</v>
      </c>
      <c r="E1310" t="s">
        <v>124</v>
      </c>
      <c r="F1310">
        <v>2013</v>
      </c>
      <c r="G1310" t="s">
        <v>6348</v>
      </c>
      <c r="H1310" t="s">
        <v>6349</v>
      </c>
      <c r="I1310" t="s">
        <v>6350</v>
      </c>
      <c r="J1310" t="s">
        <v>26</v>
      </c>
      <c r="K1310" t="s">
        <v>48</v>
      </c>
      <c r="L1310" t="b">
        <v>1</v>
      </c>
      <c r="M1310" t="s">
        <v>6351</v>
      </c>
      <c r="N1310" t="str">
        <f>"599.65/2;599.652"</f>
        <v>599.65/2;599.652</v>
      </c>
      <c r="P1310" t="b">
        <v>0</v>
      </c>
      <c r="R1310" t="str">
        <f>"9781620876480"</f>
        <v>9781620876480</v>
      </c>
      <c r="S1310" t="str">
        <f>"9781626365315"</f>
        <v>9781626365315</v>
      </c>
      <c r="T1310">
        <v>855969162</v>
      </c>
    </row>
    <row r="1311" spans="1:20" x14ac:dyDescent="0.25">
      <c r="A1311">
        <v>648956</v>
      </c>
      <c r="B1311" t="s">
        <v>6352</v>
      </c>
      <c r="C1311" t="s">
        <v>6353</v>
      </c>
      <c r="D1311" t="s">
        <v>123</v>
      </c>
      <c r="E1311" t="s">
        <v>124</v>
      </c>
      <c r="F1311">
        <v>2012</v>
      </c>
      <c r="G1311" t="s">
        <v>6354</v>
      </c>
      <c r="H1311" t="s">
        <v>6355</v>
      </c>
      <c r="I1311" t="s">
        <v>6356</v>
      </c>
      <c r="J1311" t="s">
        <v>26</v>
      </c>
      <c r="K1311" t="s">
        <v>48</v>
      </c>
      <c r="L1311" t="b">
        <v>1</v>
      </c>
      <c r="M1311" t="s">
        <v>6357</v>
      </c>
      <c r="N1311" t="str">
        <f>"632/.5"</f>
        <v>632/.5</v>
      </c>
      <c r="O1311" t="s">
        <v>6353</v>
      </c>
      <c r="P1311" t="b">
        <v>0</v>
      </c>
      <c r="R1311" t="str">
        <f>"9781616086473"</f>
        <v>9781616086473</v>
      </c>
      <c r="S1311" t="str">
        <f>"9781620872727"</f>
        <v>9781620872727</v>
      </c>
      <c r="T1311">
        <v>798270535</v>
      </c>
    </row>
    <row r="1312" spans="1:20" x14ac:dyDescent="0.25">
      <c r="A1312">
        <v>648935</v>
      </c>
      <c r="B1312" t="s">
        <v>6358</v>
      </c>
      <c r="C1312" t="s">
        <v>6359</v>
      </c>
      <c r="D1312" t="s">
        <v>123</v>
      </c>
      <c r="E1312" t="s">
        <v>124</v>
      </c>
      <c r="F1312">
        <v>2013</v>
      </c>
      <c r="G1312" t="s">
        <v>6360</v>
      </c>
      <c r="H1312" t="s">
        <v>6361</v>
      </c>
      <c r="I1312" t="s">
        <v>6362</v>
      </c>
      <c r="J1312" t="s">
        <v>26</v>
      </c>
      <c r="K1312" t="s">
        <v>48</v>
      </c>
      <c r="L1312" t="b">
        <v>1</v>
      </c>
      <c r="M1312" t="s">
        <v>6363</v>
      </c>
      <c r="N1312" t="str">
        <f>"597.96/4"</f>
        <v>597.96/4</v>
      </c>
      <c r="P1312" t="b">
        <v>0</v>
      </c>
      <c r="Q1312" t="b">
        <v>0</v>
      </c>
      <c r="R1312" t="str">
        <f>"9781620876237"</f>
        <v>9781620876237</v>
      </c>
      <c r="S1312" t="str">
        <f>"9781626364912"</f>
        <v>9781626364912</v>
      </c>
      <c r="T1312">
        <v>861693093</v>
      </c>
    </row>
    <row r="1313" spans="1:20" x14ac:dyDescent="0.25">
      <c r="A1313">
        <v>648925</v>
      </c>
      <c r="B1313" t="s">
        <v>6364</v>
      </c>
      <c r="C1313" t="s">
        <v>6365</v>
      </c>
      <c r="D1313" t="s">
        <v>123</v>
      </c>
      <c r="E1313" t="s">
        <v>124</v>
      </c>
      <c r="F1313">
        <v>2011</v>
      </c>
      <c r="G1313" t="s">
        <v>2049</v>
      </c>
      <c r="H1313" t="s">
        <v>6366</v>
      </c>
      <c r="I1313" t="s">
        <v>6367</v>
      </c>
      <c r="J1313" t="s">
        <v>26</v>
      </c>
      <c r="K1313" t="s">
        <v>48</v>
      </c>
      <c r="L1313" t="b">
        <v>1</v>
      </c>
      <c r="M1313" t="s">
        <v>6368</v>
      </c>
      <c r="N1313" t="str">
        <f>"616.8606"</f>
        <v>616.8606</v>
      </c>
      <c r="P1313" t="b">
        <v>0</v>
      </c>
      <c r="R1313" t="str">
        <f>"9781616084189"</f>
        <v>9781616084189</v>
      </c>
      <c r="S1313" t="str">
        <f>"9781628733082"</f>
        <v>9781628733082</v>
      </c>
      <c r="T1313">
        <v>855503669</v>
      </c>
    </row>
    <row r="1314" spans="1:20" x14ac:dyDescent="0.25">
      <c r="A1314">
        <v>648861</v>
      </c>
      <c r="B1314" t="s">
        <v>6369</v>
      </c>
      <c r="C1314" t="s">
        <v>6370</v>
      </c>
      <c r="D1314" t="s">
        <v>123</v>
      </c>
      <c r="E1314" t="s">
        <v>124</v>
      </c>
      <c r="F1314">
        <v>2014</v>
      </c>
      <c r="G1314" t="s">
        <v>6371</v>
      </c>
      <c r="H1314" t="s">
        <v>6372</v>
      </c>
      <c r="I1314" t="s">
        <v>6373</v>
      </c>
      <c r="J1314" t="s">
        <v>26</v>
      </c>
      <c r="K1314" t="s">
        <v>48</v>
      </c>
      <c r="L1314" t="b">
        <v>1</v>
      </c>
      <c r="M1314" t="s">
        <v>6374</v>
      </c>
      <c r="N1314" t="str">
        <f>"599.653"</f>
        <v>599.653</v>
      </c>
      <c r="P1314" t="b">
        <v>0</v>
      </c>
      <c r="R1314" t="str">
        <f>"9781626362130"</f>
        <v>9781626362130</v>
      </c>
      <c r="S1314" t="str">
        <f>"9781628735536"</f>
        <v>9781628735536</v>
      </c>
      <c r="T1314">
        <v>879372282</v>
      </c>
    </row>
    <row r="1315" spans="1:20" x14ac:dyDescent="0.25">
      <c r="A1315">
        <v>648838</v>
      </c>
      <c r="B1315" t="s">
        <v>6375</v>
      </c>
      <c r="C1315" t="s">
        <v>6376</v>
      </c>
      <c r="D1315" t="s">
        <v>123</v>
      </c>
      <c r="E1315" t="s">
        <v>124</v>
      </c>
      <c r="F1315">
        <v>2012</v>
      </c>
      <c r="G1315" t="s">
        <v>6377</v>
      </c>
      <c r="H1315" t="s">
        <v>6378</v>
      </c>
      <c r="I1315" t="s">
        <v>6379</v>
      </c>
      <c r="J1315" t="s">
        <v>26</v>
      </c>
      <c r="K1315" t="s">
        <v>48</v>
      </c>
      <c r="L1315" t="b">
        <v>1</v>
      </c>
      <c r="M1315" t="s">
        <v>6380</v>
      </c>
      <c r="N1315" t="str">
        <f>"640"</f>
        <v>640</v>
      </c>
      <c r="P1315" t="b">
        <v>0</v>
      </c>
      <c r="R1315" t="str">
        <f>"9781616088828"</f>
        <v>9781616088828</v>
      </c>
      <c r="S1315" t="str">
        <f>"9781620879528"</f>
        <v>9781620879528</v>
      </c>
      <c r="T1315">
        <v>824700638</v>
      </c>
    </row>
    <row r="1316" spans="1:20" x14ac:dyDescent="0.25">
      <c r="A1316">
        <v>648798</v>
      </c>
      <c r="B1316" t="s">
        <v>6381</v>
      </c>
      <c r="C1316" t="s">
        <v>6382</v>
      </c>
      <c r="D1316" t="s">
        <v>123</v>
      </c>
      <c r="E1316" t="s">
        <v>124</v>
      </c>
      <c r="F1316">
        <v>2012</v>
      </c>
      <c r="G1316" t="s">
        <v>2028</v>
      </c>
      <c r="H1316" t="s">
        <v>6383</v>
      </c>
      <c r="I1316" t="s">
        <v>6384</v>
      </c>
      <c r="J1316" t="s">
        <v>26</v>
      </c>
      <c r="K1316" t="s">
        <v>48</v>
      </c>
      <c r="L1316" t="b">
        <v>1</v>
      </c>
      <c r="M1316" t="s">
        <v>6385</v>
      </c>
      <c r="N1316" t="str">
        <f>"818/.607"</f>
        <v>818/.607</v>
      </c>
      <c r="P1316" t="b">
        <v>1</v>
      </c>
      <c r="R1316" t="str">
        <f>"9781616087111"</f>
        <v>9781616087111</v>
      </c>
      <c r="S1316" t="str">
        <f>"9781620872505"</f>
        <v>9781620872505</v>
      </c>
      <c r="T1316">
        <v>829178061</v>
      </c>
    </row>
    <row r="1317" spans="1:20" x14ac:dyDescent="0.25">
      <c r="A1317">
        <v>648782</v>
      </c>
      <c r="B1317" t="s">
        <v>6386</v>
      </c>
      <c r="C1317" t="s">
        <v>6387</v>
      </c>
      <c r="D1317" t="s">
        <v>123</v>
      </c>
      <c r="E1317" t="s">
        <v>124</v>
      </c>
      <c r="F1317">
        <v>2012</v>
      </c>
      <c r="G1317" t="s">
        <v>6388</v>
      </c>
      <c r="H1317" t="s">
        <v>6389</v>
      </c>
      <c r="I1317" t="s">
        <v>6390</v>
      </c>
      <c r="J1317" t="s">
        <v>26</v>
      </c>
      <c r="K1317" t="s">
        <v>48</v>
      </c>
      <c r="L1317" t="b">
        <v>1</v>
      </c>
      <c r="M1317" t="s">
        <v>6391</v>
      </c>
      <c r="N1317" t="str">
        <f>"306.8745"</f>
        <v>306.8745</v>
      </c>
      <c r="O1317" t="s">
        <v>6392</v>
      </c>
      <c r="P1317" t="b">
        <v>0</v>
      </c>
      <c r="R1317" t="str">
        <f>"9781616086428"</f>
        <v>9781616086428</v>
      </c>
      <c r="S1317" t="str">
        <f>"9781620872697"</f>
        <v>9781620872697</v>
      </c>
      <c r="T1317">
        <v>828936118</v>
      </c>
    </row>
    <row r="1318" spans="1:20" x14ac:dyDescent="0.25">
      <c r="A1318">
        <v>648761</v>
      </c>
      <c r="B1318" t="s">
        <v>6393</v>
      </c>
      <c r="C1318" t="s">
        <v>6394</v>
      </c>
      <c r="D1318" t="s">
        <v>123</v>
      </c>
      <c r="E1318" t="s">
        <v>124</v>
      </c>
      <c r="F1318">
        <v>2013</v>
      </c>
      <c r="G1318" t="s">
        <v>6395</v>
      </c>
      <c r="H1318" t="s">
        <v>6396</v>
      </c>
      <c r="I1318" t="s">
        <v>6397</v>
      </c>
      <c r="J1318" t="s">
        <v>26</v>
      </c>
      <c r="K1318" t="s">
        <v>48</v>
      </c>
      <c r="L1318" t="b">
        <v>1</v>
      </c>
      <c r="M1318" t="s">
        <v>6398</v>
      </c>
      <c r="N1318" t="str">
        <f>"579.6"</f>
        <v>579.6</v>
      </c>
      <c r="P1318" t="b">
        <v>0</v>
      </c>
      <c r="R1318" t="str">
        <f>"9781620877319"</f>
        <v>9781620877319</v>
      </c>
      <c r="S1318" t="str">
        <f>"9781626364844"</f>
        <v>9781626364844</v>
      </c>
      <c r="T1318">
        <v>852513334</v>
      </c>
    </row>
    <row r="1319" spans="1:20" x14ac:dyDescent="0.25">
      <c r="A1319">
        <v>648718</v>
      </c>
      <c r="B1319" t="s">
        <v>6399</v>
      </c>
      <c r="D1319" t="s">
        <v>123</v>
      </c>
      <c r="E1319" t="s">
        <v>124</v>
      </c>
      <c r="F1319">
        <v>2012</v>
      </c>
      <c r="G1319" t="s">
        <v>6400</v>
      </c>
      <c r="H1319" t="s">
        <v>6401</v>
      </c>
      <c r="I1319" t="s">
        <v>6402</v>
      </c>
      <c r="J1319" t="s">
        <v>26</v>
      </c>
      <c r="K1319" t="s">
        <v>48</v>
      </c>
      <c r="L1319" t="b">
        <v>1</v>
      </c>
      <c r="M1319" t="s">
        <v>6403</v>
      </c>
      <c r="N1319" t="str">
        <f>"780"</f>
        <v>780</v>
      </c>
      <c r="O1319" t="s">
        <v>6404</v>
      </c>
      <c r="P1319" t="b">
        <v>0</v>
      </c>
      <c r="R1319" t="str">
        <f>"9781616088552"</f>
        <v>9781616088552</v>
      </c>
      <c r="S1319" t="str">
        <f>"9781620877494"</f>
        <v>9781620877494</v>
      </c>
      <c r="T1319">
        <v>822229319</v>
      </c>
    </row>
    <row r="1320" spans="1:20" x14ac:dyDescent="0.25">
      <c r="A1320">
        <v>648717</v>
      </c>
      <c r="B1320" t="s">
        <v>6405</v>
      </c>
      <c r="D1320" t="s">
        <v>123</v>
      </c>
      <c r="E1320" t="s">
        <v>124</v>
      </c>
      <c r="F1320">
        <v>2012</v>
      </c>
      <c r="G1320" t="s">
        <v>6406</v>
      </c>
      <c r="H1320" t="s">
        <v>6407</v>
      </c>
      <c r="I1320" t="s">
        <v>6408</v>
      </c>
      <c r="J1320" t="s">
        <v>26</v>
      </c>
      <c r="K1320" t="s">
        <v>48</v>
      </c>
      <c r="L1320" t="b">
        <v>1</v>
      </c>
      <c r="M1320" t="s">
        <v>6409</v>
      </c>
      <c r="N1320" t="str">
        <f>"303.34"</f>
        <v>303.34</v>
      </c>
      <c r="O1320" t="s">
        <v>6404</v>
      </c>
      <c r="P1320" t="b">
        <v>0</v>
      </c>
      <c r="R1320" t="str">
        <f>"9781620871911"</f>
        <v>9781620871911</v>
      </c>
      <c r="S1320" t="str">
        <f>"9781620876794"</f>
        <v>9781620876794</v>
      </c>
      <c r="T1320">
        <v>825007703</v>
      </c>
    </row>
    <row r="1321" spans="1:20" x14ac:dyDescent="0.25">
      <c r="A1321">
        <v>648715</v>
      </c>
      <c r="B1321" t="s">
        <v>6410</v>
      </c>
      <c r="D1321" t="s">
        <v>123</v>
      </c>
      <c r="E1321" t="s">
        <v>124</v>
      </c>
      <c r="F1321">
        <v>2012</v>
      </c>
      <c r="G1321" t="s">
        <v>6411</v>
      </c>
      <c r="H1321" t="s">
        <v>6412</v>
      </c>
      <c r="I1321" t="s">
        <v>6413</v>
      </c>
      <c r="J1321" t="s">
        <v>26</v>
      </c>
      <c r="K1321" t="s">
        <v>48</v>
      </c>
      <c r="L1321" t="b">
        <v>1</v>
      </c>
      <c r="M1321" t="s">
        <v>6414</v>
      </c>
      <c r="N1321" t="str">
        <f>"636.1"</f>
        <v>636.1</v>
      </c>
      <c r="O1321" t="s">
        <v>6404</v>
      </c>
      <c r="P1321" t="b">
        <v>0</v>
      </c>
      <c r="R1321" t="str">
        <f>"9781616087074"</f>
        <v>9781616087074</v>
      </c>
      <c r="S1321" t="str">
        <f>"9781620873304"</f>
        <v>9781620873304</v>
      </c>
      <c r="T1321">
        <v>829184577</v>
      </c>
    </row>
    <row r="1322" spans="1:20" x14ac:dyDescent="0.25">
      <c r="A1322">
        <v>648703</v>
      </c>
      <c r="B1322" t="s">
        <v>6415</v>
      </c>
      <c r="C1322" t="s">
        <v>6416</v>
      </c>
      <c r="D1322" t="s">
        <v>123</v>
      </c>
      <c r="E1322" t="s">
        <v>124</v>
      </c>
      <c r="F1322">
        <v>2012</v>
      </c>
      <c r="G1322" t="s">
        <v>6417</v>
      </c>
      <c r="H1322" t="s">
        <v>6418</v>
      </c>
      <c r="I1322" t="s">
        <v>6419</v>
      </c>
      <c r="J1322" t="s">
        <v>26</v>
      </c>
      <c r="K1322" t="s">
        <v>48</v>
      </c>
      <c r="L1322" t="b">
        <v>1</v>
      </c>
      <c r="M1322" t="s">
        <v>6420</v>
      </c>
      <c r="N1322" t="str">
        <f>"364.106"</f>
        <v>364.106</v>
      </c>
      <c r="O1322" t="s">
        <v>6404</v>
      </c>
      <c r="P1322" t="b">
        <v>0</v>
      </c>
      <c r="R1322" t="str">
        <f>"9781620871928"</f>
        <v>9781620871928</v>
      </c>
      <c r="S1322" t="str">
        <f>"9781620879016"</f>
        <v>9781620879016</v>
      </c>
      <c r="T1322">
        <v>829177936</v>
      </c>
    </row>
    <row r="1323" spans="1:20" x14ac:dyDescent="0.25">
      <c r="A1323">
        <v>648640</v>
      </c>
      <c r="B1323" t="s">
        <v>6421</v>
      </c>
      <c r="D1323" t="s">
        <v>123</v>
      </c>
      <c r="E1323" t="s">
        <v>124</v>
      </c>
      <c r="F1323">
        <v>2012</v>
      </c>
      <c r="G1323" t="s">
        <v>6422</v>
      </c>
      <c r="H1323" t="s">
        <v>6423</v>
      </c>
      <c r="I1323" t="s">
        <v>6424</v>
      </c>
      <c r="J1323" t="s">
        <v>26</v>
      </c>
      <c r="K1323" t="s">
        <v>48</v>
      </c>
      <c r="L1323" t="b">
        <v>1</v>
      </c>
      <c r="M1323" t="s">
        <v>6425</v>
      </c>
      <c r="N1323" t="str">
        <f>"621.39092"</f>
        <v>621.39092</v>
      </c>
      <c r="P1323" t="b">
        <v>0</v>
      </c>
      <c r="R1323" t="str">
        <f>"9781620872437"</f>
        <v>9781620872437</v>
      </c>
      <c r="S1323" t="str">
        <f>"9781620872512"</f>
        <v>9781620872512</v>
      </c>
      <c r="T1323">
        <v>828935789</v>
      </c>
    </row>
    <row r="1324" spans="1:20" x14ac:dyDescent="0.25">
      <c r="A1324">
        <v>648605</v>
      </c>
      <c r="B1324" t="s">
        <v>6426</v>
      </c>
      <c r="C1324" t="s">
        <v>6427</v>
      </c>
      <c r="D1324" t="s">
        <v>123</v>
      </c>
      <c r="E1324" t="s">
        <v>124</v>
      </c>
      <c r="F1324">
        <v>2013</v>
      </c>
      <c r="G1324" t="s">
        <v>1921</v>
      </c>
      <c r="H1324" t="s">
        <v>6428</v>
      </c>
      <c r="I1324" t="s">
        <v>6429</v>
      </c>
      <c r="J1324" t="s">
        <v>26</v>
      </c>
      <c r="K1324" t="s">
        <v>48</v>
      </c>
      <c r="L1324" t="b">
        <v>1</v>
      </c>
      <c r="M1324" t="s">
        <v>6430</v>
      </c>
      <c r="N1324" t="str">
        <f>"612.8"</f>
        <v>612.8</v>
      </c>
      <c r="P1324" t="b">
        <v>0</v>
      </c>
      <c r="R1324" t="str">
        <f>"9781626361645"</f>
        <v>9781626361645</v>
      </c>
      <c r="S1324" t="str">
        <f>"9781628734584"</f>
        <v>9781628734584</v>
      </c>
      <c r="T1324">
        <v>857363761</v>
      </c>
    </row>
    <row r="1325" spans="1:20" x14ac:dyDescent="0.25">
      <c r="A1325">
        <v>648553</v>
      </c>
      <c r="B1325" t="s">
        <v>6431</v>
      </c>
      <c r="D1325" t="s">
        <v>123</v>
      </c>
      <c r="E1325" t="s">
        <v>124</v>
      </c>
      <c r="F1325">
        <v>2009</v>
      </c>
      <c r="G1325" t="s">
        <v>2226</v>
      </c>
      <c r="H1325" t="s">
        <v>6432</v>
      </c>
      <c r="I1325" t="s">
        <v>6433</v>
      </c>
      <c r="J1325" t="s">
        <v>26</v>
      </c>
      <c r="K1325" t="s">
        <v>48</v>
      </c>
      <c r="L1325" t="b">
        <v>1</v>
      </c>
      <c r="M1325" t="s">
        <v>6434</v>
      </c>
      <c r="N1325" t="str">
        <f>"581.6/32"</f>
        <v>581.6/32</v>
      </c>
      <c r="P1325" t="b">
        <v>0</v>
      </c>
      <c r="R1325" t="str">
        <f>"9781602396920"</f>
        <v>9781602396920</v>
      </c>
      <c r="S1325" t="str">
        <f>"9781626369825"</f>
        <v>9781626369825</v>
      </c>
      <c r="T1325">
        <v>854976844</v>
      </c>
    </row>
    <row r="1326" spans="1:20" x14ac:dyDescent="0.25">
      <c r="A1326">
        <v>648450</v>
      </c>
      <c r="B1326" t="s">
        <v>6435</v>
      </c>
      <c r="C1326" t="s">
        <v>6353</v>
      </c>
      <c r="D1326" t="s">
        <v>123</v>
      </c>
      <c r="E1326" t="s">
        <v>124</v>
      </c>
      <c r="F1326">
        <v>2012</v>
      </c>
      <c r="G1326" t="s">
        <v>6354</v>
      </c>
      <c r="H1326" t="s">
        <v>6436</v>
      </c>
      <c r="I1326" t="s">
        <v>6437</v>
      </c>
      <c r="J1326" t="s">
        <v>26</v>
      </c>
      <c r="K1326" t="s">
        <v>48</v>
      </c>
      <c r="L1326" t="b">
        <v>1</v>
      </c>
      <c r="M1326" t="s">
        <v>6357</v>
      </c>
      <c r="N1326" t="str">
        <f>"631.5/31"</f>
        <v>631.5/31</v>
      </c>
      <c r="O1326" t="s">
        <v>6353</v>
      </c>
      <c r="P1326" t="b">
        <v>0</v>
      </c>
      <c r="R1326" t="str">
        <f>"9781616086367"</f>
        <v>9781616086367</v>
      </c>
      <c r="S1326" t="str">
        <f>"9781620872703"</f>
        <v>9781620872703</v>
      </c>
      <c r="T1326">
        <v>798270885</v>
      </c>
    </row>
    <row r="1327" spans="1:20" x14ac:dyDescent="0.25">
      <c r="A1327">
        <v>648438</v>
      </c>
      <c r="B1327" t="s">
        <v>6438</v>
      </c>
      <c r="C1327" t="s">
        <v>6439</v>
      </c>
      <c r="D1327" t="s">
        <v>1151</v>
      </c>
      <c r="E1327" t="s">
        <v>6440</v>
      </c>
      <c r="F1327">
        <v>2012</v>
      </c>
      <c r="G1327" t="s">
        <v>6441</v>
      </c>
      <c r="H1327" t="s">
        <v>6442</v>
      </c>
      <c r="I1327" t="s">
        <v>6443</v>
      </c>
      <c r="J1327" t="s">
        <v>26</v>
      </c>
      <c r="K1327" t="s">
        <v>48</v>
      </c>
      <c r="L1327" t="b">
        <v>1</v>
      </c>
      <c r="M1327" t="s">
        <v>6444</v>
      </c>
      <c r="N1327" t="str">
        <f>"468.3421"</f>
        <v>468.3421</v>
      </c>
      <c r="P1327" t="b">
        <v>0</v>
      </c>
      <c r="R1327" t="str">
        <f>"9781616087234"</f>
        <v>9781616087234</v>
      </c>
      <c r="S1327" t="str">
        <f>"9781620872796"</f>
        <v>9781620872796</v>
      </c>
      <c r="T1327">
        <v>811259663</v>
      </c>
    </row>
    <row r="1328" spans="1:20" x14ac:dyDescent="0.25">
      <c r="A1328">
        <v>648435</v>
      </c>
      <c r="B1328" t="s">
        <v>6445</v>
      </c>
      <c r="C1328" t="s">
        <v>6353</v>
      </c>
      <c r="D1328" t="s">
        <v>123</v>
      </c>
      <c r="E1328" t="s">
        <v>124</v>
      </c>
      <c r="F1328">
        <v>2012</v>
      </c>
      <c r="G1328" t="s">
        <v>6354</v>
      </c>
      <c r="H1328" t="s">
        <v>6446</v>
      </c>
      <c r="I1328" t="s">
        <v>6447</v>
      </c>
      <c r="J1328" t="s">
        <v>26</v>
      </c>
      <c r="K1328" t="s">
        <v>48</v>
      </c>
      <c r="L1328" t="b">
        <v>1</v>
      </c>
      <c r="M1328" t="s">
        <v>6357</v>
      </c>
      <c r="N1328" t="str">
        <f>"632"</f>
        <v>632</v>
      </c>
      <c r="O1328" t="s">
        <v>6353</v>
      </c>
      <c r="P1328" t="b">
        <v>0</v>
      </c>
      <c r="R1328" t="str">
        <f>"9781616086343"</f>
        <v>9781616086343</v>
      </c>
      <c r="S1328" t="str">
        <f>"9781620872871"</f>
        <v>9781620872871</v>
      </c>
      <c r="T1328">
        <v>798272333</v>
      </c>
    </row>
    <row r="1329" spans="1:20" x14ac:dyDescent="0.25">
      <c r="A1329">
        <v>648368</v>
      </c>
      <c r="B1329" t="s">
        <v>6448</v>
      </c>
      <c r="C1329" t="s">
        <v>6353</v>
      </c>
      <c r="D1329" t="s">
        <v>123</v>
      </c>
      <c r="E1329" t="s">
        <v>124</v>
      </c>
      <c r="F1329">
        <v>2012</v>
      </c>
      <c r="G1329" t="s">
        <v>6354</v>
      </c>
      <c r="H1329" t="s">
        <v>6449</v>
      </c>
      <c r="I1329" t="s">
        <v>6450</v>
      </c>
      <c r="J1329" t="s">
        <v>26</v>
      </c>
      <c r="K1329" t="s">
        <v>48</v>
      </c>
      <c r="L1329" t="b">
        <v>1</v>
      </c>
      <c r="M1329" t="s">
        <v>6357</v>
      </c>
      <c r="N1329" t="str">
        <f>"631.5/42"</f>
        <v>631.5/42</v>
      </c>
      <c r="O1329" t="s">
        <v>6353</v>
      </c>
      <c r="P1329" t="b">
        <v>0</v>
      </c>
      <c r="R1329" t="str">
        <f>"9781616086251"</f>
        <v>9781616086251</v>
      </c>
      <c r="S1329" t="str">
        <f>"9781620872666"</f>
        <v>9781620872666</v>
      </c>
      <c r="T1329">
        <v>798277871</v>
      </c>
    </row>
    <row r="1330" spans="1:20" x14ac:dyDescent="0.25">
      <c r="A1330">
        <v>648318</v>
      </c>
      <c r="B1330" t="s">
        <v>6451</v>
      </c>
      <c r="D1330" t="s">
        <v>123</v>
      </c>
      <c r="E1330" t="s">
        <v>124</v>
      </c>
      <c r="F1330">
        <v>2012</v>
      </c>
      <c r="G1330" t="s">
        <v>6452</v>
      </c>
      <c r="H1330" t="s">
        <v>6453</v>
      </c>
      <c r="I1330" t="s">
        <v>6454</v>
      </c>
      <c r="J1330" t="s">
        <v>26</v>
      </c>
      <c r="K1330" t="s">
        <v>48</v>
      </c>
      <c r="L1330" t="b">
        <v>1</v>
      </c>
      <c r="M1330" t="s">
        <v>6455</v>
      </c>
      <c r="N1330" t="str">
        <f>"597.0913"</f>
        <v>597.0913</v>
      </c>
      <c r="P1330" t="b">
        <v>0</v>
      </c>
      <c r="R1330" t="str">
        <f>"9781620872949"</f>
        <v>9781620872949</v>
      </c>
      <c r="S1330" t="str">
        <f>"9781620875155"</f>
        <v>9781620875155</v>
      </c>
      <c r="T1330">
        <v>829171504</v>
      </c>
    </row>
    <row r="1331" spans="1:20" x14ac:dyDescent="0.25">
      <c r="A1331">
        <v>648296</v>
      </c>
      <c r="B1331" t="s">
        <v>6456</v>
      </c>
      <c r="C1331" t="s">
        <v>6457</v>
      </c>
      <c r="D1331" t="s">
        <v>123</v>
      </c>
      <c r="E1331" t="s">
        <v>124</v>
      </c>
      <c r="F1331">
        <v>2012</v>
      </c>
      <c r="G1331" t="s">
        <v>6458</v>
      </c>
      <c r="H1331" t="s">
        <v>6459</v>
      </c>
      <c r="I1331" t="s">
        <v>6460</v>
      </c>
      <c r="J1331" t="s">
        <v>26</v>
      </c>
      <c r="K1331" t="s">
        <v>48</v>
      </c>
      <c r="L1331" t="b">
        <v>1</v>
      </c>
      <c r="M1331" t="s">
        <v>6461</v>
      </c>
      <c r="N1331" t="str">
        <f>"398.0852"</f>
        <v>398.0852</v>
      </c>
      <c r="P1331" t="b">
        <v>0</v>
      </c>
      <c r="R1331" t="str">
        <f>"9781616086947"</f>
        <v>9781616086947</v>
      </c>
      <c r="S1331" t="str">
        <f>"9781620872642"</f>
        <v>9781620872642</v>
      </c>
      <c r="T1331">
        <v>798663462</v>
      </c>
    </row>
    <row r="1332" spans="1:20" x14ac:dyDescent="0.25">
      <c r="A1332">
        <v>648287</v>
      </c>
      <c r="B1332" t="s">
        <v>6462</v>
      </c>
      <c r="C1332" t="s">
        <v>6463</v>
      </c>
      <c r="D1332" t="s">
        <v>123</v>
      </c>
      <c r="E1332" t="s">
        <v>124</v>
      </c>
      <c r="F1332">
        <v>2012</v>
      </c>
      <c r="G1332" t="s">
        <v>6377</v>
      </c>
      <c r="H1332" t="s">
        <v>6464</v>
      </c>
      <c r="I1332" t="s">
        <v>6465</v>
      </c>
      <c r="J1332" t="s">
        <v>26</v>
      </c>
      <c r="K1332" t="s">
        <v>48</v>
      </c>
      <c r="L1332" t="b">
        <v>1</v>
      </c>
      <c r="M1332" t="s">
        <v>6466</v>
      </c>
      <c r="N1332" t="str">
        <f>"635"</f>
        <v>635</v>
      </c>
      <c r="P1332" t="b">
        <v>0</v>
      </c>
      <c r="R1332" t="str">
        <f>"9781616086152"</f>
        <v>9781616086152</v>
      </c>
      <c r="S1332" t="str">
        <f>"9781620873786"</f>
        <v>9781620873786</v>
      </c>
      <c r="T1332">
        <v>825115916</v>
      </c>
    </row>
    <row r="1333" spans="1:20" x14ac:dyDescent="0.25">
      <c r="A1333">
        <v>648276</v>
      </c>
      <c r="B1333" t="s">
        <v>6467</v>
      </c>
      <c r="C1333" t="s">
        <v>6468</v>
      </c>
      <c r="D1333" t="s">
        <v>123</v>
      </c>
      <c r="E1333" t="s">
        <v>124</v>
      </c>
      <c r="F1333">
        <v>2012</v>
      </c>
      <c r="G1333" t="s">
        <v>6469</v>
      </c>
      <c r="H1333" t="s">
        <v>6470</v>
      </c>
      <c r="I1333" t="s">
        <v>6471</v>
      </c>
      <c r="J1333" t="s">
        <v>26</v>
      </c>
      <c r="K1333" t="s">
        <v>48</v>
      </c>
      <c r="L1333" t="b">
        <v>1</v>
      </c>
      <c r="M1333" t="s">
        <v>6472</v>
      </c>
      <c r="N1333" t="str">
        <f>"636.8"</f>
        <v>636.8</v>
      </c>
      <c r="P1333" t="b">
        <v>0</v>
      </c>
      <c r="R1333" t="str">
        <f>"9781616086114"</f>
        <v>9781616086114</v>
      </c>
      <c r="S1333" t="str">
        <f>"9781620876725"</f>
        <v>9781620876725</v>
      </c>
      <c r="T1333">
        <v>822229334</v>
      </c>
    </row>
    <row r="1334" spans="1:20" x14ac:dyDescent="0.25">
      <c r="A1334">
        <v>648273</v>
      </c>
      <c r="B1334" t="s">
        <v>6473</v>
      </c>
      <c r="C1334" t="s">
        <v>6474</v>
      </c>
      <c r="D1334" t="s">
        <v>123</v>
      </c>
      <c r="E1334" t="s">
        <v>124</v>
      </c>
      <c r="F1334">
        <v>2012</v>
      </c>
      <c r="G1334" t="s">
        <v>695</v>
      </c>
      <c r="H1334" t="s">
        <v>6475</v>
      </c>
      <c r="I1334" t="s">
        <v>6476</v>
      </c>
      <c r="J1334" t="s">
        <v>26</v>
      </c>
      <c r="K1334" t="s">
        <v>48</v>
      </c>
      <c r="L1334" t="b">
        <v>1</v>
      </c>
      <c r="M1334" t="s">
        <v>6477</v>
      </c>
      <c r="N1334" t="str">
        <f>"791.4302/8/092;B"</f>
        <v>791.4302/8/092;B</v>
      </c>
      <c r="P1334" t="b">
        <v>0</v>
      </c>
      <c r="Q1334" t="b">
        <v>0</v>
      </c>
      <c r="R1334" t="str">
        <f>"9781616087197"</f>
        <v>9781616087197</v>
      </c>
      <c r="S1334" t="str">
        <f>"9781620874110"</f>
        <v>9781620874110</v>
      </c>
      <c r="T1334">
        <v>828934340</v>
      </c>
    </row>
    <row r="1335" spans="1:20" x14ac:dyDescent="0.25">
      <c r="A1335">
        <v>648214</v>
      </c>
      <c r="B1335" t="s">
        <v>6478</v>
      </c>
      <c r="C1335" t="s">
        <v>6479</v>
      </c>
      <c r="D1335" t="s">
        <v>123</v>
      </c>
      <c r="E1335" t="s">
        <v>124</v>
      </c>
      <c r="F1335">
        <v>2013</v>
      </c>
      <c r="G1335" t="s">
        <v>695</v>
      </c>
      <c r="H1335" t="s">
        <v>6480</v>
      </c>
      <c r="I1335" t="s">
        <v>6476</v>
      </c>
      <c r="J1335" t="s">
        <v>26</v>
      </c>
      <c r="K1335" t="s">
        <v>48</v>
      </c>
      <c r="L1335" t="b">
        <v>1</v>
      </c>
      <c r="M1335" t="s">
        <v>6481</v>
      </c>
      <c r="N1335" t="str">
        <f>"791.4302/8092;B"</f>
        <v>791.4302/8092;B</v>
      </c>
      <c r="P1335" t="b">
        <v>0</v>
      </c>
      <c r="Q1335" t="b">
        <v>0</v>
      </c>
      <c r="R1335" t="str">
        <f>"9781626360945"</f>
        <v>9781626360945</v>
      </c>
      <c r="S1335" t="str">
        <f>"9781628734959"</f>
        <v>9781628734959</v>
      </c>
      <c r="T1335">
        <v>857363770</v>
      </c>
    </row>
    <row r="1336" spans="1:20" x14ac:dyDescent="0.25">
      <c r="A1336">
        <v>648068</v>
      </c>
      <c r="B1336" t="s">
        <v>6482</v>
      </c>
      <c r="C1336" t="s">
        <v>6483</v>
      </c>
      <c r="D1336" t="s">
        <v>123</v>
      </c>
      <c r="E1336" t="s">
        <v>124</v>
      </c>
      <c r="F1336">
        <v>2012</v>
      </c>
      <c r="G1336" t="s">
        <v>6377</v>
      </c>
      <c r="H1336" t="s">
        <v>6484</v>
      </c>
      <c r="I1336" t="s">
        <v>6485</v>
      </c>
      <c r="J1336" t="s">
        <v>26</v>
      </c>
      <c r="K1336" t="s">
        <v>48</v>
      </c>
      <c r="L1336" t="b">
        <v>1</v>
      </c>
      <c r="M1336" t="s">
        <v>6486</v>
      </c>
      <c r="N1336" t="str">
        <f>"640"</f>
        <v>640</v>
      </c>
      <c r="P1336" t="b">
        <v>0</v>
      </c>
      <c r="R1336" t="str">
        <f>"9781620870662"</f>
        <v>9781620870662</v>
      </c>
      <c r="S1336" t="str">
        <f>"9781620879504"</f>
        <v>9781620879504</v>
      </c>
      <c r="T1336">
        <v>829027776</v>
      </c>
    </row>
    <row r="1337" spans="1:20" x14ac:dyDescent="0.25">
      <c r="A1337">
        <v>648062</v>
      </c>
      <c r="B1337" t="s">
        <v>6487</v>
      </c>
      <c r="C1337" t="s">
        <v>6488</v>
      </c>
      <c r="D1337" t="s">
        <v>123</v>
      </c>
      <c r="E1337" t="s">
        <v>124</v>
      </c>
      <c r="F1337">
        <v>2012</v>
      </c>
      <c r="G1337" t="s">
        <v>4232</v>
      </c>
      <c r="H1337" t="s">
        <v>6489</v>
      </c>
      <c r="I1337" t="s">
        <v>6490</v>
      </c>
      <c r="J1337" t="s">
        <v>26</v>
      </c>
      <c r="K1337" t="s">
        <v>48</v>
      </c>
      <c r="L1337" t="b">
        <v>1</v>
      </c>
      <c r="M1337" t="s">
        <v>6491</v>
      </c>
      <c r="N1337" t="str">
        <f>"590"</f>
        <v>590</v>
      </c>
      <c r="P1337" t="b">
        <v>0</v>
      </c>
      <c r="R1337" t="str">
        <f>"9781620870655"</f>
        <v>9781620870655</v>
      </c>
      <c r="S1337" t="str">
        <f>"9781620879009"</f>
        <v>9781620879009</v>
      </c>
      <c r="T1337">
        <v>829162582</v>
      </c>
    </row>
    <row r="1338" spans="1:20" x14ac:dyDescent="0.25">
      <c r="A1338">
        <v>647903</v>
      </c>
      <c r="B1338" t="s">
        <v>6492</v>
      </c>
      <c r="C1338" t="s">
        <v>6493</v>
      </c>
      <c r="D1338" t="s">
        <v>123</v>
      </c>
      <c r="E1338" t="s">
        <v>124</v>
      </c>
      <c r="F1338">
        <v>2012</v>
      </c>
      <c r="G1338" t="s">
        <v>6494</v>
      </c>
      <c r="H1338" t="s">
        <v>6495</v>
      </c>
      <c r="I1338" t="s">
        <v>6496</v>
      </c>
      <c r="J1338" t="s">
        <v>26</v>
      </c>
      <c r="K1338" t="s">
        <v>48</v>
      </c>
      <c r="L1338" t="b">
        <v>1</v>
      </c>
      <c r="M1338" t="s">
        <v>6497</v>
      </c>
      <c r="N1338" t="str">
        <f>"153.6"</f>
        <v>153.6</v>
      </c>
      <c r="P1338" t="b">
        <v>0</v>
      </c>
      <c r="R1338" t="str">
        <f>"9781616086466"</f>
        <v>9781616086466</v>
      </c>
      <c r="S1338" t="str">
        <f>"9781620873373"</f>
        <v>9781620873373</v>
      </c>
      <c r="T1338">
        <v>809667362</v>
      </c>
    </row>
    <row r="1339" spans="1:20" x14ac:dyDescent="0.25">
      <c r="A1339">
        <v>647892</v>
      </c>
      <c r="B1339" t="s">
        <v>6498</v>
      </c>
      <c r="C1339" t="s">
        <v>6499</v>
      </c>
      <c r="D1339" t="s">
        <v>123</v>
      </c>
      <c r="E1339" t="s">
        <v>124</v>
      </c>
      <c r="F1339">
        <v>2013</v>
      </c>
      <c r="G1339" t="s">
        <v>4770</v>
      </c>
      <c r="H1339" t="s">
        <v>6500</v>
      </c>
      <c r="I1339" t="s">
        <v>6501</v>
      </c>
      <c r="J1339" t="s">
        <v>26</v>
      </c>
      <c r="K1339" t="s">
        <v>48</v>
      </c>
      <c r="L1339" t="b">
        <v>1</v>
      </c>
      <c r="M1339" t="s">
        <v>6502</v>
      </c>
      <c r="N1339" t="str">
        <f>"570.6"</f>
        <v>570.6</v>
      </c>
      <c r="P1339" t="b">
        <v>0</v>
      </c>
      <c r="R1339" t="str">
        <f>"9781626360358"</f>
        <v>9781626360358</v>
      </c>
      <c r="S1339" t="str">
        <f>"9781628734546"</f>
        <v>9781628734546</v>
      </c>
      <c r="T1339">
        <v>857364846</v>
      </c>
    </row>
    <row r="1340" spans="1:20" x14ac:dyDescent="0.25">
      <c r="A1340">
        <v>647871</v>
      </c>
      <c r="B1340" t="s">
        <v>6503</v>
      </c>
      <c r="C1340" t="s">
        <v>6353</v>
      </c>
      <c r="D1340" t="s">
        <v>123</v>
      </c>
      <c r="E1340" t="s">
        <v>124</v>
      </c>
      <c r="F1340">
        <v>2012</v>
      </c>
      <c r="G1340" t="s">
        <v>6354</v>
      </c>
      <c r="H1340" t="s">
        <v>6504</v>
      </c>
      <c r="I1340" t="s">
        <v>6505</v>
      </c>
      <c r="J1340" t="s">
        <v>26</v>
      </c>
      <c r="K1340" t="s">
        <v>48</v>
      </c>
      <c r="L1340" t="b">
        <v>1</v>
      </c>
      <c r="M1340" t="s">
        <v>6357</v>
      </c>
      <c r="N1340" t="str">
        <f>"631.8/75"</f>
        <v>631.8/75</v>
      </c>
      <c r="O1340" t="s">
        <v>6353</v>
      </c>
      <c r="P1340" t="b">
        <v>0</v>
      </c>
      <c r="R1340" t="str">
        <f>"9781616085919"</f>
        <v>9781616085919</v>
      </c>
      <c r="S1340" t="str">
        <f>"9781620872772"</f>
        <v>9781620872772</v>
      </c>
      <c r="T1340">
        <v>798270877</v>
      </c>
    </row>
    <row r="1341" spans="1:20" x14ac:dyDescent="0.25">
      <c r="A1341">
        <v>647869</v>
      </c>
      <c r="B1341" t="s">
        <v>6506</v>
      </c>
      <c r="C1341" t="s">
        <v>6353</v>
      </c>
      <c r="D1341" t="s">
        <v>123</v>
      </c>
      <c r="E1341" t="s">
        <v>124</v>
      </c>
      <c r="F1341">
        <v>2012</v>
      </c>
      <c r="G1341" t="s">
        <v>6354</v>
      </c>
      <c r="H1341" t="s">
        <v>6507</v>
      </c>
      <c r="I1341" t="s">
        <v>6508</v>
      </c>
      <c r="J1341" t="s">
        <v>26</v>
      </c>
      <c r="K1341" t="s">
        <v>48</v>
      </c>
      <c r="L1341" t="b">
        <v>1</v>
      </c>
      <c r="M1341" t="s">
        <v>6357</v>
      </c>
      <c r="N1341" t="str">
        <f>"635.9"</f>
        <v>635.9</v>
      </c>
      <c r="O1341" t="s">
        <v>6353</v>
      </c>
      <c r="P1341" t="b">
        <v>0</v>
      </c>
      <c r="R1341" t="str">
        <f>"9781616086527"</f>
        <v>9781616086527</v>
      </c>
      <c r="S1341" t="str">
        <f>"9781620872765"</f>
        <v>9781620872765</v>
      </c>
      <c r="T1341">
        <v>798270933</v>
      </c>
    </row>
    <row r="1342" spans="1:20" x14ac:dyDescent="0.25">
      <c r="A1342">
        <v>647241</v>
      </c>
      <c r="B1342" t="s">
        <v>6509</v>
      </c>
      <c r="D1342" t="s">
        <v>6329</v>
      </c>
      <c r="E1342" t="s">
        <v>6510</v>
      </c>
      <c r="F1342">
        <v>2012</v>
      </c>
      <c r="G1342" t="s">
        <v>1873</v>
      </c>
      <c r="H1342" t="s">
        <v>6511</v>
      </c>
      <c r="I1342" t="s">
        <v>6512</v>
      </c>
      <c r="J1342" t="s">
        <v>503</v>
      </c>
      <c r="K1342" t="s">
        <v>27</v>
      </c>
      <c r="L1342" t="b">
        <v>1</v>
      </c>
      <c r="M1342" t="s">
        <v>6513</v>
      </c>
      <c r="N1342" t="str">
        <f>"361.2092"</f>
        <v>361.2092</v>
      </c>
      <c r="O1342" t="s">
        <v>6514</v>
      </c>
      <c r="P1342" t="b">
        <v>0</v>
      </c>
      <c r="R1342" t="str">
        <f>"9782923986302"</f>
        <v>9782923986302</v>
      </c>
      <c r="S1342" t="str">
        <f>"9782923986319"</f>
        <v>9782923986319</v>
      </c>
      <c r="T1342">
        <v>866850415</v>
      </c>
    </row>
    <row r="1343" spans="1:20" x14ac:dyDescent="0.25">
      <c r="A1343">
        <v>647043</v>
      </c>
      <c r="B1343" t="s">
        <v>6515</v>
      </c>
      <c r="D1343" t="s">
        <v>6329</v>
      </c>
      <c r="E1343" t="s">
        <v>6510</v>
      </c>
      <c r="F1343">
        <v>2012</v>
      </c>
      <c r="G1343" t="s">
        <v>6516</v>
      </c>
      <c r="H1343" t="s">
        <v>6517</v>
      </c>
      <c r="I1343" t="s">
        <v>6518</v>
      </c>
      <c r="J1343" t="s">
        <v>503</v>
      </c>
      <c r="K1343" t="s">
        <v>27</v>
      </c>
      <c r="L1343" t="b">
        <v>1</v>
      </c>
      <c r="M1343" t="s">
        <v>6519</v>
      </c>
      <c r="N1343" t="str">
        <f>"700.1/03"</f>
        <v>700.1/03</v>
      </c>
      <c r="O1343" t="s">
        <v>6520</v>
      </c>
      <c r="P1343" t="b">
        <v>0</v>
      </c>
      <c r="R1343" t="str">
        <f>"9782923986210"</f>
        <v>9782923986210</v>
      </c>
      <c r="S1343" t="str">
        <f>"9782923986227"</f>
        <v>9782923986227</v>
      </c>
      <c r="T1343">
        <v>860712438</v>
      </c>
    </row>
    <row r="1344" spans="1:20" x14ac:dyDescent="0.25">
      <c r="A1344">
        <v>646946</v>
      </c>
      <c r="B1344" t="s">
        <v>6521</v>
      </c>
      <c r="C1344" t="s">
        <v>6522</v>
      </c>
      <c r="D1344" t="s">
        <v>123</v>
      </c>
      <c r="E1344" t="s">
        <v>1713</v>
      </c>
      <c r="F1344">
        <v>2013</v>
      </c>
      <c r="G1344" t="s">
        <v>6523</v>
      </c>
      <c r="H1344" t="s">
        <v>6524</v>
      </c>
      <c r="I1344" t="s">
        <v>6525</v>
      </c>
      <c r="J1344" t="s">
        <v>26</v>
      </c>
      <c r="K1344" t="s">
        <v>48</v>
      </c>
      <c r="L1344" t="b">
        <v>1</v>
      </c>
      <c r="M1344" t="s">
        <v>6526</v>
      </c>
      <c r="N1344" t="str">
        <f>"791.4302/3"</f>
        <v>791.4302/3</v>
      </c>
      <c r="P1344" t="b">
        <v>0</v>
      </c>
      <c r="R1344" t="str">
        <f>"9781621532644"</f>
        <v>9781621532644</v>
      </c>
      <c r="S1344" t="str">
        <f>"9781621533870"</f>
        <v>9781621533870</v>
      </c>
      <c r="T1344">
        <v>859537719</v>
      </c>
    </row>
    <row r="1345" spans="1:20" x14ac:dyDescent="0.25">
      <c r="A1345">
        <v>646944</v>
      </c>
      <c r="B1345" t="s">
        <v>6527</v>
      </c>
      <c r="C1345" t="s">
        <v>6528</v>
      </c>
      <c r="D1345" t="s">
        <v>123</v>
      </c>
      <c r="E1345" t="s">
        <v>1713</v>
      </c>
      <c r="F1345">
        <v>2013</v>
      </c>
      <c r="G1345" t="s">
        <v>6529</v>
      </c>
      <c r="H1345" t="s">
        <v>6530</v>
      </c>
      <c r="I1345" t="s">
        <v>6531</v>
      </c>
      <c r="J1345" t="s">
        <v>26</v>
      </c>
      <c r="K1345" t="s">
        <v>48</v>
      </c>
      <c r="L1345" t="b">
        <v>1</v>
      </c>
      <c r="M1345" t="s">
        <v>6532</v>
      </c>
      <c r="N1345" t="str">
        <f>"658.8"</f>
        <v>658.8</v>
      </c>
      <c r="P1345" t="b">
        <v>0</v>
      </c>
      <c r="R1345" t="str">
        <f>"9781621532637"</f>
        <v>9781621532637</v>
      </c>
      <c r="S1345" t="str">
        <f>"9781621533856"</f>
        <v>9781621533856</v>
      </c>
      <c r="T1345">
        <v>857363771</v>
      </c>
    </row>
    <row r="1346" spans="1:20" x14ac:dyDescent="0.25">
      <c r="A1346">
        <v>646921</v>
      </c>
      <c r="B1346" t="s">
        <v>6533</v>
      </c>
      <c r="C1346" t="s">
        <v>6534</v>
      </c>
      <c r="D1346" t="s">
        <v>123</v>
      </c>
      <c r="E1346" t="s">
        <v>1713</v>
      </c>
      <c r="F1346">
        <v>2012</v>
      </c>
      <c r="G1346" t="s">
        <v>6535</v>
      </c>
      <c r="H1346" t="s">
        <v>6536</v>
      </c>
      <c r="I1346" t="s">
        <v>6537</v>
      </c>
      <c r="J1346" t="s">
        <v>26</v>
      </c>
      <c r="K1346" t="s">
        <v>48</v>
      </c>
      <c r="L1346" t="b">
        <v>1</v>
      </c>
      <c r="M1346" t="s">
        <v>6538</v>
      </c>
      <c r="N1346" t="str">
        <f>"738.1/2"</f>
        <v>738.1/2</v>
      </c>
      <c r="P1346" t="b">
        <v>0</v>
      </c>
      <c r="R1346" t="str">
        <f>"9781581158960"</f>
        <v>9781581158960</v>
      </c>
      <c r="S1346" t="str">
        <f>"9781621532996"</f>
        <v>9781621532996</v>
      </c>
      <c r="T1346">
        <v>855503493</v>
      </c>
    </row>
    <row r="1347" spans="1:20" x14ac:dyDescent="0.25">
      <c r="A1347">
        <v>646919</v>
      </c>
      <c r="B1347" t="s">
        <v>6539</v>
      </c>
      <c r="D1347" t="s">
        <v>123</v>
      </c>
      <c r="E1347" t="s">
        <v>1713</v>
      </c>
      <c r="F1347">
        <v>2012</v>
      </c>
      <c r="G1347" t="s">
        <v>6540</v>
      </c>
      <c r="H1347" t="s">
        <v>6541</v>
      </c>
      <c r="I1347" t="s">
        <v>6542</v>
      </c>
      <c r="J1347" t="s">
        <v>26</v>
      </c>
      <c r="K1347" t="s">
        <v>48</v>
      </c>
      <c r="L1347" t="b">
        <v>1</v>
      </c>
      <c r="M1347" t="s">
        <v>6543</v>
      </c>
      <c r="N1347" t="str">
        <f>"747"</f>
        <v>747</v>
      </c>
      <c r="P1347" t="b">
        <v>0</v>
      </c>
      <c r="R1347" t="str">
        <f>"9781581158984"</f>
        <v>9781581158984</v>
      </c>
      <c r="S1347" t="str">
        <f>"9781621532941"</f>
        <v>9781621532941</v>
      </c>
      <c r="T1347">
        <v>855853809</v>
      </c>
    </row>
    <row r="1348" spans="1:20" x14ac:dyDescent="0.25">
      <c r="A1348">
        <v>646914</v>
      </c>
      <c r="B1348" t="s">
        <v>6544</v>
      </c>
      <c r="C1348" t="s">
        <v>6545</v>
      </c>
      <c r="D1348" t="s">
        <v>123</v>
      </c>
      <c r="E1348" t="s">
        <v>1713</v>
      </c>
      <c r="F1348">
        <v>2013</v>
      </c>
      <c r="G1348" t="s">
        <v>6296</v>
      </c>
      <c r="H1348" t="s">
        <v>6546</v>
      </c>
      <c r="I1348" t="s">
        <v>6547</v>
      </c>
      <c r="J1348" t="s">
        <v>26</v>
      </c>
      <c r="K1348" t="s">
        <v>48</v>
      </c>
      <c r="L1348" t="b">
        <v>1</v>
      </c>
      <c r="M1348" t="s">
        <v>6548</v>
      </c>
      <c r="N1348" t="str">
        <f>"701/.8"</f>
        <v>701/.8</v>
      </c>
      <c r="P1348" t="b">
        <v>0</v>
      </c>
      <c r="R1348" t="str">
        <f>"9781621532446"</f>
        <v>9781621532446</v>
      </c>
      <c r="S1348" t="str">
        <f>"9781621532804"</f>
        <v>9781621532804</v>
      </c>
      <c r="T1348">
        <v>854895187</v>
      </c>
    </row>
    <row r="1349" spans="1:20" x14ac:dyDescent="0.25">
      <c r="A1349">
        <v>646907</v>
      </c>
      <c r="B1349" t="s">
        <v>6549</v>
      </c>
      <c r="D1349" t="s">
        <v>123</v>
      </c>
      <c r="E1349" t="s">
        <v>1713</v>
      </c>
      <c r="F1349">
        <v>2012</v>
      </c>
      <c r="G1349" t="s">
        <v>6550</v>
      </c>
      <c r="H1349" t="s">
        <v>6551</v>
      </c>
      <c r="I1349" t="s">
        <v>6552</v>
      </c>
      <c r="J1349" t="s">
        <v>26</v>
      </c>
      <c r="K1349" t="s">
        <v>48</v>
      </c>
      <c r="L1349" t="b">
        <v>1</v>
      </c>
      <c r="M1349" t="s">
        <v>6553</v>
      </c>
      <c r="N1349" t="str">
        <f>"760.092"</f>
        <v>760.092</v>
      </c>
      <c r="P1349" t="b">
        <v>0</v>
      </c>
      <c r="R1349" t="str">
        <f>"9781581159035"</f>
        <v>9781581159035</v>
      </c>
      <c r="S1349" t="str">
        <f>"9781621532583"</f>
        <v>9781621532583</v>
      </c>
      <c r="T1349">
        <v>829168499</v>
      </c>
    </row>
    <row r="1350" spans="1:20" x14ac:dyDescent="0.25">
      <c r="A1350">
        <v>646906</v>
      </c>
      <c r="B1350" t="s">
        <v>6554</v>
      </c>
      <c r="C1350" t="s">
        <v>6555</v>
      </c>
      <c r="D1350" t="s">
        <v>123</v>
      </c>
      <c r="E1350" t="s">
        <v>1713</v>
      </c>
      <c r="F1350">
        <v>2012</v>
      </c>
      <c r="G1350" t="s">
        <v>4041</v>
      </c>
      <c r="H1350" t="s">
        <v>6556</v>
      </c>
      <c r="I1350" t="s">
        <v>6557</v>
      </c>
      <c r="J1350" t="s">
        <v>26</v>
      </c>
      <c r="K1350" t="s">
        <v>48</v>
      </c>
      <c r="L1350" t="b">
        <v>1</v>
      </c>
      <c r="M1350" t="s">
        <v>6558</v>
      </c>
      <c r="N1350" t="str">
        <f>"808.02"</f>
        <v>808.02</v>
      </c>
      <c r="P1350" t="b">
        <v>0</v>
      </c>
      <c r="R1350" t="str">
        <f>"9781581159172"</f>
        <v>9781581159172</v>
      </c>
      <c r="S1350" t="str">
        <f>"9781621532552"</f>
        <v>9781621532552</v>
      </c>
      <c r="T1350">
        <v>824700600</v>
      </c>
    </row>
    <row r="1351" spans="1:20" x14ac:dyDescent="0.25">
      <c r="A1351">
        <v>646903</v>
      </c>
      <c r="B1351" t="s">
        <v>6559</v>
      </c>
      <c r="C1351" t="s">
        <v>6560</v>
      </c>
      <c r="D1351" t="s">
        <v>123</v>
      </c>
      <c r="E1351" t="s">
        <v>1713</v>
      </c>
      <c r="F1351">
        <v>2012</v>
      </c>
      <c r="G1351" t="s">
        <v>6523</v>
      </c>
      <c r="H1351" t="s">
        <v>6561</v>
      </c>
      <c r="I1351" t="s">
        <v>6562</v>
      </c>
      <c r="J1351" t="s">
        <v>26</v>
      </c>
      <c r="K1351" t="s">
        <v>48</v>
      </c>
      <c r="L1351" t="b">
        <v>1</v>
      </c>
      <c r="M1351" t="s">
        <v>6563</v>
      </c>
      <c r="N1351" t="str">
        <f>"777"</f>
        <v>777</v>
      </c>
      <c r="P1351" t="b">
        <v>0</v>
      </c>
      <c r="R1351" t="str">
        <f>"9781581158816"</f>
        <v>9781581158816</v>
      </c>
      <c r="S1351" t="str">
        <f>"9781621532514"</f>
        <v>9781621532514</v>
      </c>
      <c r="T1351">
        <v>822229768</v>
      </c>
    </row>
    <row r="1352" spans="1:20" x14ac:dyDescent="0.25">
      <c r="A1352">
        <v>646901</v>
      </c>
      <c r="B1352" t="s">
        <v>6564</v>
      </c>
      <c r="C1352" t="s">
        <v>6565</v>
      </c>
      <c r="D1352" t="s">
        <v>123</v>
      </c>
      <c r="E1352" t="s">
        <v>1713</v>
      </c>
      <c r="F1352">
        <v>2012</v>
      </c>
      <c r="G1352" t="s">
        <v>6566</v>
      </c>
      <c r="H1352" t="s">
        <v>6567</v>
      </c>
      <c r="I1352" t="s">
        <v>6568</v>
      </c>
      <c r="J1352" t="s">
        <v>26</v>
      </c>
      <c r="K1352" t="s">
        <v>48</v>
      </c>
      <c r="L1352" t="b">
        <v>1</v>
      </c>
      <c r="M1352" t="s">
        <v>6569</v>
      </c>
      <c r="N1352" t="str">
        <f>"792/.028"</f>
        <v>792/.028</v>
      </c>
      <c r="P1352" t="b">
        <v>0</v>
      </c>
      <c r="R1352" t="str">
        <f>"9781581159813"</f>
        <v>9781581159813</v>
      </c>
      <c r="S1352" t="str">
        <f>"9781621532361"</f>
        <v>9781621532361</v>
      </c>
      <c r="T1352">
        <v>822229777</v>
      </c>
    </row>
    <row r="1353" spans="1:20" x14ac:dyDescent="0.25">
      <c r="A1353">
        <v>646881</v>
      </c>
      <c r="B1353" t="s">
        <v>6570</v>
      </c>
      <c r="D1353" t="s">
        <v>123</v>
      </c>
      <c r="E1353" t="s">
        <v>1713</v>
      </c>
      <c r="F1353">
        <v>2010</v>
      </c>
      <c r="G1353" t="s">
        <v>6540</v>
      </c>
      <c r="H1353" t="s">
        <v>6571</v>
      </c>
      <c r="I1353" t="s">
        <v>6572</v>
      </c>
      <c r="J1353" t="s">
        <v>26</v>
      </c>
      <c r="K1353" t="s">
        <v>48</v>
      </c>
      <c r="L1353" t="b">
        <v>1</v>
      </c>
      <c r="M1353" t="s">
        <v>6573</v>
      </c>
      <c r="N1353" t="str">
        <f>"747"</f>
        <v>747</v>
      </c>
      <c r="P1353" t="b">
        <v>0</v>
      </c>
      <c r="R1353" t="str">
        <f>"9781581157451"</f>
        <v>9781581157451</v>
      </c>
      <c r="S1353" t="str">
        <f>"9781581157741"</f>
        <v>9781581157741</v>
      </c>
      <c r="T1353">
        <v>854976828</v>
      </c>
    </row>
    <row r="1354" spans="1:20" x14ac:dyDescent="0.25">
      <c r="A1354">
        <v>646866</v>
      </c>
      <c r="B1354" t="s">
        <v>6574</v>
      </c>
      <c r="D1354" t="s">
        <v>123</v>
      </c>
      <c r="E1354" t="s">
        <v>1713</v>
      </c>
      <c r="F1354">
        <v>2010</v>
      </c>
      <c r="G1354" t="s">
        <v>6540</v>
      </c>
      <c r="H1354" t="s">
        <v>6575</v>
      </c>
      <c r="I1354" t="s">
        <v>6576</v>
      </c>
      <c r="J1354" t="s">
        <v>26</v>
      </c>
      <c r="K1354" t="s">
        <v>48</v>
      </c>
      <c r="L1354" t="b">
        <v>1</v>
      </c>
      <c r="M1354" t="s">
        <v>6577</v>
      </c>
      <c r="N1354" t="str">
        <f>"747.068"</f>
        <v>747.068</v>
      </c>
      <c r="P1354" t="b">
        <v>0</v>
      </c>
      <c r="R1354" t="str">
        <f>"9781581156751"</f>
        <v>9781581156751</v>
      </c>
      <c r="S1354" t="str">
        <f>"9781581157406"</f>
        <v>9781581157406</v>
      </c>
      <c r="T1354">
        <v>733965448</v>
      </c>
    </row>
    <row r="1355" spans="1:20" x14ac:dyDescent="0.25">
      <c r="A1355">
        <v>644840</v>
      </c>
      <c r="B1355" t="s">
        <v>6578</v>
      </c>
      <c r="C1355" t="s">
        <v>6579</v>
      </c>
      <c r="D1355" t="s">
        <v>131</v>
      </c>
      <c r="E1355" t="s">
        <v>2389</v>
      </c>
      <c r="F1355">
        <v>2013</v>
      </c>
      <c r="G1355" t="s">
        <v>4378</v>
      </c>
      <c r="H1355" t="s">
        <v>6580</v>
      </c>
      <c r="I1355" t="s">
        <v>6581</v>
      </c>
      <c r="J1355" t="s">
        <v>26</v>
      </c>
      <c r="K1355" t="s">
        <v>86</v>
      </c>
      <c r="L1355" t="b">
        <v>1</v>
      </c>
      <c r="M1355" t="s">
        <v>6582</v>
      </c>
      <c r="N1355" t="str">
        <f>"193"</f>
        <v>193</v>
      </c>
      <c r="P1355" t="b">
        <v>0</v>
      </c>
      <c r="R1355" t="str">
        <f>"9780823255498"</f>
        <v>9780823255498</v>
      </c>
      <c r="S1355" t="str">
        <f>"9780823255528"</f>
        <v>9780823255528</v>
      </c>
      <c r="T1355">
        <v>859536311</v>
      </c>
    </row>
    <row r="1356" spans="1:20" x14ac:dyDescent="0.25">
      <c r="A1356">
        <v>644839</v>
      </c>
      <c r="B1356" t="s">
        <v>6583</v>
      </c>
      <c r="C1356" t="s">
        <v>6584</v>
      </c>
      <c r="D1356" t="s">
        <v>131</v>
      </c>
      <c r="E1356" t="s">
        <v>2405</v>
      </c>
      <c r="F1356">
        <v>2014</v>
      </c>
      <c r="G1356" t="s">
        <v>2417</v>
      </c>
      <c r="H1356" t="s">
        <v>6585</v>
      </c>
      <c r="I1356" t="s">
        <v>6586</v>
      </c>
      <c r="J1356" t="s">
        <v>26</v>
      </c>
      <c r="K1356" t="s">
        <v>86</v>
      </c>
      <c r="L1356" t="b">
        <v>1</v>
      </c>
      <c r="M1356" t="s">
        <v>6587</v>
      </c>
      <c r="N1356" t="str">
        <f>"801"</f>
        <v>801</v>
      </c>
      <c r="O1356" t="s">
        <v>4416</v>
      </c>
      <c r="P1356" t="b">
        <v>0</v>
      </c>
      <c r="R1356" t="str">
        <f>"9780823255153"</f>
        <v>9780823255153</v>
      </c>
      <c r="S1356" t="str">
        <f>"9780823255177"</f>
        <v>9780823255177</v>
      </c>
      <c r="T1356">
        <v>859159614</v>
      </c>
    </row>
    <row r="1357" spans="1:20" x14ac:dyDescent="0.25">
      <c r="A1357">
        <v>644838</v>
      </c>
      <c r="B1357" t="s">
        <v>6588</v>
      </c>
      <c r="C1357" t="s">
        <v>6589</v>
      </c>
      <c r="D1357" t="s">
        <v>131</v>
      </c>
      <c r="E1357" t="s">
        <v>2389</v>
      </c>
      <c r="F1357">
        <v>2014</v>
      </c>
      <c r="G1357" t="s">
        <v>2321</v>
      </c>
      <c r="H1357" t="s">
        <v>6590</v>
      </c>
      <c r="I1357" t="s">
        <v>6591</v>
      </c>
      <c r="J1357" t="s">
        <v>26</v>
      </c>
      <c r="K1357" t="s">
        <v>86</v>
      </c>
      <c r="L1357" t="b">
        <v>1</v>
      </c>
      <c r="M1357" t="s">
        <v>6592</v>
      </c>
      <c r="N1357" t="str">
        <f>"181.1"</f>
        <v>181.1</v>
      </c>
      <c r="O1357" t="s">
        <v>6593</v>
      </c>
      <c r="P1357" t="b">
        <v>0</v>
      </c>
      <c r="R1357" t="str">
        <f>"9780823255016"</f>
        <v>9780823255016</v>
      </c>
      <c r="S1357" t="str">
        <f>"9780823255047"</f>
        <v>9780823255047</v>
      </c>
      <c r="T1357">
        <v>871194371</v>
      </c>
    </row>
    <row r="1358" spans="1:20" x14ac:dyDescent="0.25">
      <c r="A1358">
        <v>644835</v>
      </c>
      <c r="B1358" t="s">
        <v>6594</v>
      </c>
      <c r="C1358" t="s">
        <v>6595</v>
      </c>
      <c r="D1358" t="s">
        <v>131</v>
      </c>
      <c r="E1358" t="s">
        <v>2389</v>
      </c>
      <c r="F1358">
        <v>2014</v>
      </c>
      <c r="G1358" t="s">
        <v>856</v>
      </c>
      <c r="H1358" t="s">
        <v>6596</v>
      </c>
      <c r="I1358" t="s">
        <v>6597</v>
      </c>
      <c r="J1358" t="s">
        <v>26</v>
      </c>
      <c r="K1358" t="s">
        <v>86</v>
      </c>
      <c r="L1358" t="b">
        <v>1</v>
      </c>
      <c r="M1358" t="s">
        <v>6598</v>
      </c>
      <c r="N1358" t="str">
        <f>"809.933554"</f>
        <v>809.933554</v>
      </c>
      <c r="O1358" t="s">
        <v>6599</v>
      </c>
      <c r="P1358" t="b">
        <v>0</v>
      </c>
      <c r="R1358" t="str">
        <f>"9780823254156"</f>
        <v>9780823254156</v>
      </c>
      <c r="S1358" t="str">
        <f>"9780823254187"</f>
        <v>9780823254187</v>
      </c>
      <c r="T1358">
        <v>859159675</v>
      </c>
    </row>
    <row r="1359" spans="1:20" x14ac:dyDescent="0.25">
      <c r="A1359">
        <v>644832</v>
      </c>
      <c r="B1359" t="s">
        <v>6600</v>
      </c>
      <c r="C1359" t="s">
        <v>6601</v>
      </c>
      <c r="D1359" t="s">
        <v>131</v>
      </c>
      <c r="E1359" t="s">
        <v>2439</v>
      </c>
      <c r="F1359">
        <v>2013</v>
      </c>
      <c r="G1359" t="s">
        <v>4108</v>
      </c>
      <c r="H1359" t="s">
        <v>6602</v>
      </c>
      <c r="I1359" t="s">
        <v>6603</v>
      </c>
      <c r="J1359" t="s">
        <v>26</v>
      </c>
      <c r="K1359" t="s">
        <v>86</v>
      </c>
      <c r="L1359" t="b">
        <v>1</v>
      </c>
      <c r="M1359" t="s">
        <v>6604</v>
      </c>
      <c r="N1359" t="str">
        <f>"809/.93358621"</f>
        <v>809/.93358621</v>
      </c>
      <c r="P1359" t="b">
        <v>0</v>
      </c>
      <c r="R1359" t="str">
        <f>"9780823251766"</f>
        <v>9780823251766</v>
      </c>
      <c r="S1359" t="str">
        <f>"9780823252282"</f>
        <v>9780823252282</v>
      </c>
      <c r="T1359">
        <v>859536488</v>
      </c>
    </row>
    <row r="1360" spans="1:20" x14ac:dyDescent="0.25">
      <c r="A1360">
        <v>644831</v>
      </c>
      <c r="B1360" t="s">
        <v>6605</v>
      </c>
      <c r="C1360" t="s">
        <v>6606</v>
      </c>
      <c r="D1360" t="s">
        <v>131</v>
      </c>
      <c r="E1360" t="s">
        <v>2389</v>
      </c>
      <c r="F1360">
        <v>2013</v>
      </c>
      <c r="G1360" t="s">
        <v>6607</v>
      </c>
      <c r="H1360" t="s">
        <v>6608</v>
      </c>
      <c r="I1360" t="s">
        <v>6609</v>
      </c>
      <c r="J1360" t="s">
        <v>26</v>
      </c>
      <c r="K1360" t="s">
        <v>86</v>
      </c>
      <c r="L1360" t="b">
        <v>1</v>
      </c>
      <c r="M1360" t="s">
        <v>6610</v>
      </c>
      <c r="N1360" t="str">
        <f>"005.8"</f>
        <v>005.8</v>
      </c>
      <c r="P1360" t="b">
        <v>0</v>
      </c>
      <c r="R1360" t="str">
        <f>"9780823244560"</f>
        <v>9780823244560</v>
      </c>
      <c r="S1360" t="str">
        <f>"9780823244591"</f>
        <v>9780823244591</v>
      </c>
      <c r="T1360">
        <v>840820211</v>
      </c>
    </row>
    <row r="1361" spans="1:20" x14ac:dyDescent="0.25">
      <c r="A1361">
        <v>644510</v>
      </c>
      <c r="B1361" t="s">
        <v>6611</v>
      </c>
      <c r="C1361" t="s">
        <v>6612</v>
      </c>
      <c r="D1361" t="s">
        <v>131</v>
      </c>
      <c r="E1361" t="s">
        <v>2389</v>
      </c>
      <c r="F1361">
        <v>2014</v>
      </c>
      <c r="G1361" t="s">
        <v>4132</v>
      </c>
      <c r="H1361" t="s">
        <v>6613</v>
      </c>
      <c r="I1361" t="s">
        <v>6614</v>
      </c>
      <c r="J1361" t="s">
        <v>26</v>
      </c>
      <c r="K1361" t="s">
        <v>86</v>
      </c>
      <c r="L1361" t="b">
        <v>1</v>
      </c>
      <c r="M1361" t="s">
        <v>6615</v>
      </c>
      <c r="N1361" t="str">
        <f>"304.201"</f>
        <v>304.201</v>
      </c>
      <c r="O1361" t="s">
        <v>6616</v>
      </c>
      <c r="P1361" t="b">
        <v>0</v>
      </c>
      <c r="R1361" t="str">
        <f>"9780823254255"</f>
        <v>9780823254255</v>
      </c>
      <c r="S1361" t="str">
        <f>"9780823254286"</f>
        <v>9780823254286</v>
      </c>
      <c r="T1361">
        <v>859159615</v>
      </c>
    </row>
    <row r="1362" spans="1:20" x14ac:dyDescent="0.25">
      <c r="A1362">
        <v>644508</v>
      </c>
      <c r="B1362" t="s">
        <v>6617</v>
      </c>
      <c r="C1362" t="s">
        <v>6618</v>
      </c>
      <c r="D1362" t="s">
        <v>131</v>
      </c>
      <c r="E1362" t="s">
        <v>2389</v>
      </c>
      <c r="F1362">
        <v>2013</v>
      </c>
      <c r="G1362" t="s">
        <v>6619</v>
      </c>
      <c r="H1362" t="s">
        <v>6620</v>
      </c>
      <c r="I1362" t="s">
        <v>6621</v>
      </c>
      <c r="J1362" t="s">
        <v>26</v>
      </c>
      <c r="K1362" t="s">
        <v>86</v>
      </c>
      <c r="L1362" t="b">
        <v>1</v>
      </c>
      <c r="M1362" t="s">
        <v>2528</v>
      </c>
      <c r="N1362" t="str">
        <f>"361.2"</f>
        <v>361.2</v>
      </c>
      <c r="O1362" t="s">
        <v>2529</v>
      </c>
      <c r="P1362" t="b">
        <v>0</v>
      </c>
      <c r="R1362" t="str">
        <f>"9780823251964"</f>
        <v>9780823251964</v>
      </c>
      <c r="S1362" t="str">
        <f>"9780823260768"</f>
        <v>9780823260768</v>
      </c>
      <c r="T1362">
        <v>859154772</v>
      </c>
    </row>
    <row r="1363" spans="1:20" x14ac:dyDescent="0.25">
      <c r="A1363">
        <v>644507</v>
      </c>
      <c r="B1363" t="s">
        <v>6622</v>
      </c>
      <c r="C1363" t="s">
        <v>6623</v>
      </c>
      <c r="D1363" t="s">
        <v>131</v>
      </c>
      <c r="E1363" t="s">
        <v>2566</v>
      </c>
      <c r="F1363">
        <v>2013</v>
      </c>
      <c r="G1363" t="s">
        <v>6624</v>
      </c>
      <c r="H1363" t="s">
        <v>6625</v>
      </c>
      <c r="I1363" t="s">
        <v>6626</v>
      </c>
      <c r="J1363" t="s">
        <v>26</v>
      </c>
      <c r="K1363" t="s">
        <v>86</v>
      </c>
      <c r="L1363" t="b">
        <v>1</v>
      </c>
      <c r="M1363" t="s">
        <v>6627</v>
      </c>
      <c r="N1363" t="str">
        <f>"307.09747/23;307.0974723;711.57097471"</f>
        <v>307.09747/23;307.0974723;711.57097471</v>
      </c>
      <c r="P1363" t="b">
        <v>0</v>
      </c>
      <c r="R1363" t="str">
        <f>"9780823251865"</f>
        <v>9780823251865</v>
      </c>
      <c r="S1363" t="str">
        <f>"9780823251902"</f>
        <v>9780823251902</v>
      </c>
      <c r="T1363">
        <v>861538500</v>
      </c>
    </row>
    <row r="1364" spans="1:20" x14ac:dyDescent="0.25">
      <c r="A1364">
        <v>644506</v>
      </c>
      <c r="B1364" t="s">
        <v>6628</v>
      </c>
      <c r="C1364" t="s">
        <v>6629</v>
      </c>
      <c r="D1364" t="s">
        <v>131</v>
      </c>
      <c r="E1364" t="s">
        <v>2389</v>
      </c>
      <c r="F1364">
        <v>2012</v>
      </c>
      <c r="G1364" t="s">
        <v>6619</v>
      </c>
      <c r="H1364" t="s">
        <v>6630</v>
      </c>
      <c r="I1364" t="s">
        <v>6631</v>
      </c>
      <c r="J1364" t="s">
        <v>26</v>
      </c>
      <c r="K1364" t="s">
        <v>86</v>
      </c>
      <c r="L1364" t="b">
        <v>1</v>
      </c>
      <c r="M1364" t="s">
        <v>2528</v>
      </c>
      <c r="N1364" t="str">
        <f>"363.34/8"</f>
        <v>363.34/8</v>
      </c>
      <c r="O1364" t="s">
        <v>2529</v>
      </c>
      <c r="P1364" t="b">
        <v>0</v>
      </c>
      <c r="R1364" t="str">
        <f>"9780823250172"</f>
        <v>9780823250172</v>
      </c>
      <c r="S1364" t="str">
        <f>"9780823260720"</f>
        <v>9780823260720</v>
      </c>
      <c r="T1364">
        <v>811408256</v>
      </c>
    </row>
    <row r="1365" spans="1:20" x14ac:dyDescent="0.25">
      <c r="A1365">
        <v>644505</v>
      </c>
      <c r="B1365" t="s">
        <v>6632</v>
      </c>
      <c r="C1365" t="s">
        <v>6633</v>
      </c>
      <c r="D1365" t="s">
        <v>131</v>
      </c>
      <c r="E1365" t="s">
        <v>2389</v>
      </c>
      <c r="F1365">
        <v>2010</v>
      </c>
      <c r="G1365" t="s">
        <v>2487</v>
      </c>
      <c r="H1365" t="s">
        <v>6634</v>
      </c>
      <c r="I1365" t="s">
        <v>6635</v>
      </c>
      <c r="J1365" t="s">
        <v>26</v>
      </c>
      <c r="K1365" t="s">
        <v>86</v>
      </c>
      <c r="L1365" t="b">
        <v>1</v>
      </c>
      <c r="M1365" t="s">
        <v>2528</v>
      </c>
      <c r="N1365" t="str">
        <f>"379.2/6"</f>
        <v>379.2/6</v>
      </c>
      <c r="O1365" t="s">
        <v>2529</v>
      </c>
      <c r="P1365" t="b">
        <v>0</v>
      </c>
      <c r="R1365" t="str">
        <f>"9780823231966"</f>
        <v>9780823231966</v>
      </c>
      <c r="S1365" t="str">
        <f>"9780823237609"</f>
        <v>9780823237609</v>
      </c>
      <c r="T1365">
        <v>859155137</v>
      </c>
    </row>
    <row r="1366" spans="1:20" x14ac:dyDescent="0.25">
      <c r="A1366">
        <v>644504</v>
      </c>
      <c r="B1366" t="s">
        <v>6636</v>
      </c>
      <c r="D1366" t="s">
        <v>131</v>
      </c>
      <c r="E1366" t="s">
        <v>2389</v>
      </c>
      <c r="F1366">
        <v>2007</v>
      </c>
      <c r="G1366" t="s">
        <v>6619</v>
      </c>
      <c r="H1366" t="s">
        <v>6637</v>
      </c>
      <c r="I1366" t="s">
        <v>6638</v>
      </c>
      <c r="J1366" t="s">
        <v>26</v>
      </c>
      <c r="K1366" t="s">
        <v>86</v>
      </c>
      <c r="L1366" t="b">
        <v>1</v>
      </c>
      <c r="M1366" t="s">
        <v>2528</v>
      </c>
      <c r="N1366" t="str">
        <f>"363.34/526"</f>
        <v>363.34/526</v>
      </c>
      <c r="O1366" t="s">
        <v>6639</v>
      </c>
      <c r="P1366" t="b">
        <v>0</v>
      </c>
      <c r="R1366" t="str">
        <f>"9780823227150"</f>
        <v>9780823227150</v>
      </c>
      <c r="S1366" t="str">
        <f>"9780823260744"</f>
        <v>9780823260744</v>
      </c>
      <c r="T1366">
        <v>859155311</v>
      </c>
    </row>
    <row r="1367" spans="1:20" x14ac:dyDescent="0.25">
      <c r="A1367">
        <v>641764</v>
      </c>
      <c r="B1367" t="s">
        <v>6640</v>
      </c>
      <c r="C1367" t="s">
        <v>6641</v>
      </c>
      <c r="D1367" t="s">
        <v>1364</v>
      </c>
      <c r="E1367" t="s">
        <v>2275</v>
      </c>
      <c r="F1367">
        <v>2013</v>
      </c>
      <c r="G1367" t="s">
        <v>100</v>
      </c>
      <c r="H1367" t="s">
        <v>6642</v>
      </c>
      <c r="I1367" t="s">
        <v>6643</v>
      </c>
      <c r="J1367" t="s">
        <v>26</v>
      </c>
      <c r="K1367" t="s">
        <v>27</v>
      </c>
      <c r="L1367" t="b">
        <v>1</v>
      </c>
      <c r="M1367" t="s">
        <v>6644</v>
      </c>
      <c r="N1367" t="str">
        <f>"419"</f>
        <v>419</v>
      </c>
      <c r="O1367" t="s">
        <v>6645</v>
      </c>
      <c r="P1367" t="b">
        <v>0</v>
      </c>
      <c r="R1367" t="str">
        <f>"9781614511991"</f>
        <v>9781614511991</v>
      </c>
      <c r="S1367" t="str">
        <f>"9781614511472"</f>
        <v>9781614511472</v>
      </c>
      <c r="T1367">
        <v>858846647</v>
      </c>
    </row>
    <row r="1368" spans="1:20" x14ac:dyDescent="0.25">
      <c r="A1368">
        <v>641761</v>
      </c>
      <c r="B1368" t="s">
        <v>6646</v>
      </c>
      <c r="C1368" t="s">
        <v>6647</v>
      </c>
      <c r="D1368" t="s">
        <v>1364</v>
      </c>
      <c r="E1368" t="s">
        <v>1364</v>
      </c>
      <c r="F1368">
        <v>2013</v>
      </c>
      <c r="G1368" t="s">
        <v>6648</v>
      </c>
      <c r="H1368" t="s">
        <v>6649</v>
      </c>
      <c r="I1368" t="s">
        <v>6650</v>
      </c>
      <c r="J1368" t="s">
        <v>26</v>
      </c>
      <c r="K1368" t="s">
        <v>27</v>
      </c>
      <c r="L1368" t="b">
        <v>1</v>
      </c>
      <c r="M1368" t="s">
        <v>6651</v>
      </c>
      <c r="N1368" t="str">
        <f>"515.357;515/.357"</f>
        <v>515.357;515/.357</v>
      </c>
      <c r="O1368" t="s">
        <v>6652</v>
      </c>
      <c r="P1368" t="b">
        <v>0</v>
      </c>
      <c r="R1368" t="str">
        <f>"9783110282221"</f>
        <v>9783110282221</v>
      </c>
      <c r="S1368" t="str">
        <f>"9783110282269"</f>
        <v>9783110282269</v>
      </c>
      <c r="T1368">
        <v>858761758</v>
      </c>
    </row>
    <row r="1369" spans="1:20" x14ac:dyDescent="0.25">
      <c r="A1369">
        <v>639706</v>
      </c>
      <c r="B1369" t="s">
        <v>6653</v>
      </c>
      <c r="C1369" t="s">
        <v>6654</v>
      </c>
      <c r="D1369" t="s">
        <v>131</v>
      </c>
      <c r="E1369" t="s">
        <v>2389</v>
      </c>
      <c r="F1369">
        <v>2013</v>
      </c>
      <c r="G1369" t="s">
        <v>4628</v>
      </c>
      <c r="H1369" t="s">
        <v>6655</v>
      </c>
      <c r="I1369" t="s">
        <v>6656</v>
      </c>
      <c r="J1369" t="s">
        <v>26</v>
      </c>
      <c r="K1369" t="s">
        <v>86</v>
      </c>
      <c r="L1369" t="b">
        <v>1</v>
      </c>
      <c r="M1369" t="s">
        <v>6657</v>
      </c>
      <c r="N1369" t="str">
        <f>"384.3"</f>
        <v>384.3</v>
      </c>
      <c r="O1369" t="s">
        <v>6658</v>
      </c>
      <c r="P1369" t="b">
        <v>0</v>
      </c>
      <c r="R1369" t="str">
        <f>"9780823251834"</f>
        <v>9780823251834</v>
      </c>
      <c r="S1369" t="str">
        <f>"9780823252084"</f>
        <v>9780823252084</v>
      </c>
      <c r="T1369">
        <v>858762974</v>
      </c>
    </row>
    <row r="1370" spans="1:20" x14ac:dyDescent="0.25">
      <c r="A1370">
        <v>638060</v>
      </c>
      <c r="B1370" t="s">
        <v>6659</v>
      </c>
      <c r="C1370" t="s">
        <v>6660</v>
      </c>
      <c r="D1370" t="s">
        <v>6661</v>
      </c>
      <c r="E1370" t="s">
        <v>6661</v>
      </c>
      <c r="F1370">
        <v>2013</v>
      </c>
      <c r="G1370" t="s">
        <v>6662</v>
      </c>
      <c r="H1370" t="s">
        <v>6663</v>
      </c>
      <c r="J1370" t="s">
        <v>26</v>
      </c>
      <c r="K1370" t="s">
        <v>86</v>
      </c>
      <c r="L1370" t="b">
        <v>1</v>
      </c>
      <c r="M1370" t="s">
        <v>6664</v>
      </c>
      <c r="N1370" t="str">
        <f>"324.25692/084"</f>
        <v>324.25692/084</v>
      </c>
      <c r="P1370" t="b">
        <v>0</v>
      </c>
      <c r="Q1370" t="b">
        <v>1</v>
      </c>
      <c r="R1370" t="str">
        <f>"9781626160132"</f>
        <v>9781626160132</v>
      </c>
      <c r="S1370" t="str">
        <f>"9781626160149"</f>
        <v>9781626160149</v>
      </c>
      <c r="T1370">
        <v>857769843</v>
      </c>
    </row>
    <row r="1371" spans="1:20" x14ac:dyDescent="0.25">
      <c r="A1371">
        <v>637886</v>
      </c>
      <c r="B1371" t="s">
        <v>6665</v>
      </c>
      <c r="C1371" t="s">
        <v>6666</v>
      </c>
      <c r="D1371" t="s">
        <v>6667</v>
      </c>
      <c r="E1371" t="s">
        <v>6668</v>
      </c>
      <c r="F1371">
        <v>2013</v>
      </c>
      <c r="G1371" t="s">
        <v>1632</v>
      </c>
      <c r="H1371" t="s">
        <v>6669</v>
      </c>
      <c r="I1371" t="s">
        <v>6670</v>
      </c>
      <c r="J1371" t="s">
        <v>26</v>
      </c>
      <c r="K1371" t="s">
        <v>86</v>
      </c>
      <c r="L1371" t="b">
        <v>1</v>
      </c>
      <c r="M1371" t="s">
        <v>6671</v>
      </c>
      <c r="N1371" t="str">
        <f>"940.54/21"</f>
        <v>940.54/21</v>
      </c>
      <c r="O1371" t="s">
        <v>6665</v>
      </c>
      <c r="P1371" t="b">
        <v>0</v>
      </c>
      <c r="Q1371" t="b">
        <v>0</v>
      </c>
      <c r="S1371" t="str">
        <f>"9781783332083"</f>
        <v>9781783332083</v>
      </c>
      <c r="T1371">
        <v>858762887</v>
      </c>
    </row>
    <row r="1372" spans="1:20" x14ac:dyDescent="0.25">
      <c r="A1372">
        <v>636328</v>
      </c>
      <c r="B1372" t="s">
        <v>6672</v>
      </c>
      <c r="C1372" t="s">
        <v>6673</v>
      </c>
      <c r="D1372" t="s">
        <v>6674</v>
      </c>
      <c r="E1372" t="s">
        <v>6675</v>
      </c>
      <c r="F1372">
        <v>2012</v>
      </c>
      <c r="G1372" t="s">
        <v>6676</v>
      </c>
      <c r="H1372" t="s">
        <v>6677</v>
      </c>
      <c r="I1372" t="s">
        <v>6678</v>
      </c>
      <c r="J1372" t="s">
        <v>26</v>
      </c>
      <c r="K1372" t="s">
        <v>48</v>
      </c>
      <c r="L1372" t="b">
        <v>1</v>
      </c>
      <c r="M1372" t="s">
        <v>6679</v>
      </c>
      <c r="N1372" t="str">
        <f>"306.89"</f>
        <v>306.89</v>
      </c>
      <c r="P1372" t="b">
        <v>0</v>
      </c>
      <c r="S1372" t="str">
        <f>"9780757316685"</f>
        <v>9780757316685</v>
      </c>
      <c r="T1372">
        <v>857463356</v>
      </c>
    </row>
    <row r="1373" spans="1:20" x14ac:dyDescent="0.25">
      <c r="A1373">
        <v>636178</v>
      </c>
      <c r="B1373" t="s">
        <v>6680</v>
      </c>
      <c r="C1373" t="s">
        <v>6681</v>
      </c>
      <c r="D1373" t="s">
        <v>6674</v>
      </c>
      <c r="E1373" t="s">
        <v>6675</v>
      </c>
      <c r="F1373">
        <v>2012</v>
      </c>
      <c r="G1373" t="s">
        <v>270</v>
      </c>
      <c r="H1373" t="s">
        <v>6682</v>
      </c>
      <c r="I1373" t="s">
        <v>6683</v>
      </c>
      <c r="J1373" t="s">
        <v>26</v>
      </c>
      <c r="K1373" t="s">
        <v>48</v>
      </c>
      <c r="L1373" t="b">
        <v>1</v>
      </c>
      <c r="M1373" t="s">
        <v>6684</v>
      </c>
      <c r="N1373" t="str">
        <f>"177/.62"</f>
        <v>177/.62</v>
      </c>
      <c r="P1373" t="b">
        <v>0</v>
      </c>
      <c r="S1373" t="str">
        <f>"9780757317361"</f>
        <v>9780757317361</v>
      </c>
      <c r="T1373">
        <v>857493968</v>
      </c>
    </row>
    <row r="1374" spans="1:20" x14ac:dyDescent="0.25">
      <c r="A1374">
        <v>636174</v>
      </c>
      <c r="B1374" t="s">
        <v>6685</v>
      </c>
      <c r="C1374" t="s">
        <v>6686</v>
      </c>
      <c r="D1374" t="s">
        <v>123</v>
      </c>
      <c r="E1374" t="s">
        <v>6687</v>
      </c>
      <c r="F1374">
        <v>2012</v>
      </c>
      <c r="G1374" t="s">
        <v>6688</v>
      </c>
      <c r="H1374" t="s">
        <v>6689</v>
      </c>
      <c r="I1374" t="s">
        <v>6690</v>
      </c>
      <c r="J1374" t="s">
        <v>26</v>
      </c>
      <c r="K1374" t="s">
        <v>48</v>
      </c>
      <c r="L1374" t="b">
        <v>1</v>
      </c>
      <c r="M1374" t="s">
        <v>6691</v>
      </c>
      <c r="N1374" t="str">
        <f>"170/.44"</f>
        <v>170/.44</v>
      </c>
      <c r="P1374" t="b">
        <v>0</v>
      </c>
      <c r="R1374" t="str">
        <f>"9780757317255"</f>
        <v>9780757317255</v>
      </c>
      <c r="S1374" t="str">
        <f>"9780757317262"</f>
        <v>9780757317262</v>
      </c>
      <c r="T1374">
        <v>857467786</v>
      </c>
    </row>
    <row r="1375" spans="1:20" x14ac:dyDescent="0.25">
      <c r="A1375">
        <v>636156</v>
      </c>
      <c r="B1375" t="s">
        <v>6692</v>
      </c>
      <c r="C1375" t="s">
        <v>6693</v>
      </c>
      <c r="D1375" t="s">
        <v>123</v>
      </c>
      <c r="E1375" t="s">
        <v>6687</v>
      </c>
      <c r="F1375">
        <v>2012</v>
      </c>
      <c r="G1375" t="s">
        <v>6694</v>
      </c>
      <c r="H1375" t="s">
        <v>6695</v>
      </c>
      <c r="I1375" t="s">
        <v>6696</v>
      </c>
      <c r="J1375" t="s">
        <v>26</v>
      </c>
      <c r="K1375" t="s">
        <v>48</v>
      </c>
      <c r="L1375" t="b">
        <v>1</v>
      </c>
      <c r="M1375" t="s">
        <v>6697</v>
      </c>
      <c r="N1375" t="str">
        <f>"362.292/4"</f>
        <v>362.292/4</v>
      </c>
      <c r="P1375" t="b">
        <v>0</v>
      </c>
      <c r="R1375" t="str">
        <f>"9780757316449"</f>
        <v>9780757316449</v>
      </c>
      <c r="S1375" t="str">
        <f>"9780757316456"</f>
        <v>9780757316456</v>
      </c>
      <c r="T1375">
        <v>857493560</v>
      </c>
    </row>
    <row r="1376" spans="1:20" x14ac:dyDescent="0.25">
      <c r="A1376">
        <v>636149</v>
      </c>
      <c r="B1376" t="s">
        <v>6698</v>
      </c>
      <c r="C1376" t="s">
        <v>6699</v>
      </c>
      <c r="D1376" t="s">
        <v>6674</v>
      </c>
      <c r="E1376" t="s">
        <v>6675</v>
      </c>
      <c r="F1376">
        <v>2012</v>
      </c>
      <c r="G1376" t="s">
        <v>6700</v>
      </c>
      <c r="H1376" t="s">
        <v>6701</v>
      </c>
      <c r="I1376" t="s">
        <v>6702</v>
      </c>
      <c r="J1376" t="s">
        <v>26</v>
      </c>
      <c r="K1376" t="s">
        <v>48</v>
      </c>
      <c r="L1376" t="b">
        <v>1</v>
      </c>
      <c r="M1376" t="s">
        <v>6703</v>
      </c>
      <c r="N1376" t="str">
        <f>"158.1"</f>
        <v>158.1</v>
      </c>
      <c r="P1376" t="b">
        <v>0</v>
      </c>
      <c r="S1376" t="str">
        <f>"9780757316234"</f>
        <v>9780757316234</v>
      </c>
      <c r="T1376">
        <v>857463355</v>
      </c>
    </row>
    <row r="1377" spans="1:20" x14ac:dyDescent="0.25">
      <c r="A1377">
        <v>636147</v>
      </c>
      <c r="B1377" t="s">
        <v>6704</v>
      </c>
      <c r="C1377" t="s">
        <v>6705</v>
      </c>
      <c r="D1377" t="s">
        <v>6674</v>
      </c>
      <c r="E1377" t="s">
        <v>6674</v>
      </c>
      <c r="F1377">
        <v>2012</v>
      </c>
      <c r="G1377" t="s">
        <v>6706</v>
      </c>
      <c r="H1377" t="s">
        <v>6707</v>
      </c>
      <c r="I1377" t="s">
        <v>6708</v>
      </c>
      <c r="J1377" t="s">
        <v>26</v>
      </c>
      <c r="K1377" t="s">
        <v>48</v>
      </c>
      <c r="L1377" t="b">
        <v>1</v>
      </c>
      <c r="M1377" t="s">
        <v>6709</v>
      </c>
      <c r="N1377" t="str">
        <f>"649.6"</f>
        <v>649.6</v>
      </c>
      <c r="P1377" t="b">
        <v>0</v>
      </c>
      <c r="S1377" t="str">
        <f>"9780757316135"</f>
        <v>9780757316135</v>
      </c>
      <c r="T1377">
        <v>857467756</v>
      </c>
    </row>
    <row r="1378" spans="1:20" x14ac:dyDescent="0.25">
      <c r="A1378">
        <v>636145</v>
      </c>
      <c r="B1378" t="s">
        <v>6710</v>
      </c>
      <c r="C1378" t="s">
        <v>6711</v>
      </c>
      <c r="D1378" t="s">
        <v>123</v>
      </c>
      <c r="E1378" t="s">
        <v>6687</v>
      </c>
      <c r="F1378">
        <v>2012</v>
      </c>
      <c r="G1378" t="s">
        <v>270</v>
      </c>
      <c r="H1378" t="s">
        <v>6712</v>
      </c>
      <c r="I1378" t="s">
        <v>6713</v>
      </c>
      <c r="J1378" t="s">
        <v>26</v>
      </c>
      <c r="K1378" t="s">
        <v>48</v>
      </c>
      <c r="L1378" t="b">
        <v>1</v>
      </c>
      <c r="M1378" t="s">
        <v>6714</v>
      </c>
      <c r="N1378" t="str">
        <f>"612.8/2"</f>
        <v>612.8/2</v>
      </c>
      <c r="P1378" t="b">
        <v>0</v>
      </c>
      <c r="R1378" t="str">
        <f>"9780757316296"</f>
        <v>9780757316296</v>
      </c>
      <c r="S1378" t="str">
        <f>"9780757316098"</f>
        <v>9780757316098</v>
      </c>
      <c r="T1378">
        <v>857493361</v>
      </c>
    </row>
    <row r="1379" spans="1:20" x14ac:dyDescent="0.25">
      <c r="A1379">
        <v>635500</v>
      </c>
      <c r="B1379" t="s">
        <v>6715</v>
      </c>
      <c r="C1379" t="s">
        <v>6716</v>
      </c>
      <c r="D1379" t="s">
        <v>240</v>
      </c>
      <c r="E1379" t="s">
        <v>6717</v>
      </c>
      <c r="F1379">
        <v>2013</v>
      </c>
      <c r="G1379" t="s">
        <v>242</v>
      </c>
      <c r="H1379" t="s">
        <v>6718</v>
      </c>
      <c r="I1379" t="s">
        <v>6719</v>
      </c>
      <c r="J1379" t="s">
        <v>26</v>
      </c>
      <c r="K1379" t="s">
        <v>27</v>
      </c>
      <c r="L1379" t="b">
        <v>1</v>
      </c>
      <c r="M1379" t="s">
        <v>6720</v>
      </c>
      <c r="N1379" t="str">
        <f>"818.409"</f>
        <v>818.409</v>
      </c>
      <c r="P1379" t="b">
        <v>0</v>
      </c>
      <c r="S1379" t="str">
        <f>"9781611684728"</f>
        <v>9781611684728</v>
      </c>
      <c r="T1379">
        <v>857277380</v>
      </c>
    </row>
    <row r="1380" spans="1:20" x14ac:dyDescent="0.25">
      <c r="A1380">
        <v>632835</v>
      </c>
      <c r="B1380" t="s">
        <v>6721</v>
      </c>
      <c r="D1380" t="s">
        <v>131</v>
      </c>
      <c r="E1380" t="s">
        <v>1885</v>
      </c>
      <c r="F1380">
        <v>2014</v>
      </c>
      <c r="G1380" t="s">
        <v>3736</v>
      </c>
      <c r="H1380" t="s">
        <v>6722</v>
      </c>
      <c r="I1380" t="s">
        <v>6723</v>
      </c>
      <c r="J1380" t="s">
        <v>26</v>
      </c>
      <c r="K1380" t="s">
        <v>86</v>
      </c>
      <c r="L1380" t="b">
        <v>1</v>
      </c>
      <c r="M1380" t="s">
        <v>6724</v>
      </c>
      <c r="N1380" t="str">
        <f>"520"</f>
        <v>520</v>
      </c>
      <c r="P1380" t="b">
        <v>0</v>
      </c>
      <c r="Q1380" t="b">
        <v>0</v>
      </c>
      <c r="R1380" t="str">
        <f>"9781578594191"</f>
        <v>9781578594191</v>
      </c>
      <c r="S1380" t="str">
        <f>"9781578594801"</f>
        <v>9781578594801</v>
      </c>
      <c r="T1380">
        <v>856932893</v>
      </c>
    </row>
    <row r="1381" spans="1:20" x14ac:dyDescent="0.25">
      <c r="A1381">
        <v>632746</v>
      </c>
      <c r="B1381" t="s">
        <v>6725</v>
      </c>
      <c r="D1381" t="s">
        <v>226</v>
      </c>
      <c r="E1381" t="s">
        <v>226</v>
      </c>
      <c r="F1381">
        <v>1975</v>
      </c>
      <c r="G1381" t="s">
        <v>2949</v>
      </c>
      <c r="H1381" t="s">
        <v>6726</v>
      </c>
      <c r="I1381" t="s">
        <v>6727</v>
      </c>
      <c r="J1381" t="s">
        <v>26</v>
      </c>
      <c r="K1381" t="s">
        <v>27</v>
      </c>
      <c r="L1381" t="b">
        <v>1</v>
      </c>
      <c r="M1381" t="s">
        <v>6728</v>
      </c>
      <c r="N1381" t="str">
        <f>"111.8/3"</f>
        <v>111.8/3</v>
      </c>
      <c r="O1381" t="s">
        <v>6729</v>
      </c>
      <c r="P1381" t="b">
        <v>0</v>
      </c>
      <c r="Q1381" t="b">
        <v>0</v>
      </c>
      <c r="R1381" t="str">
        <f>"9780226672953"</f>
        <v>9780226672953</v>
      </c>
      <c r="S1381" t="str">
        <f>"9780226111612"</f>
        <v>9780226111612</v>
      </c>
      <c r="T1381">
        <v>878830090</v>
      </c>
    </row>
    <row r="1382" spans="1:20" x14ac:dyDescent="0.25">
      <c r="A1382">
        <v>630549</v>
      </c>
      <c r="B1382" t="s">
        <v>6730</v>
      </c>
      <c r="D1382" t="s">
        <v>131</v>
      </c>
      <c r="E1382" t="s">
        <v>2389</v>
      </c>
      <c r="F1382">
        <v>2013</v>
      </c>
      <c r="G1382" t="s">
        <v>4359</v>
      </c>
      <c r="H1382" t="s">
        <v>5441</v>
      </c>
      <c r="I1382" t="s">
        <v>6731</v>
      </c>
      <c r="J1382" t="s">
        <v>26</v>
      </c>
      <c r="K1382" t="s">
        <v>86</v>
      </c>
      <c r="L1382" t="b">
        <v>1</v>
      </c>
      <c r="M1382" t="s">
        <v>6732</v>
      </c>
      <c r="N1382" t="str">
        <f>"809.9"</f>
        <v>809.9</v>
      </c>
      <c r="O1382" t="s">
        <v>6733</v>
      </c>
      <c r="P1382" t="b">
        <v>0</v>
      </c>
      <c r="R1382" t="str">
        <f>"9780823253784"</f>
        <v>9780823253784</v>
      </c>
      <c r="S1382" t="str">
        <f>"9780823254873"</f>
        <v>9780823254873</v>
      </c>
      <c r="T1382">
        <v>871239023</v>
      </c>
    </row>
    <row r="1383" spans="1:20" x14ac:dyDescent="0.25">
      <c r="A1383">
        <v>624782</v>
      </c>
      <c r="B1383" t="s">
        <v>6734</v>
      </c>
      <c r="C1383" t="s">
        <v>6735</v>
      </c>
      <c r="D1383" t="s">
        <v>6736</v>
      </c>
      <c r="E1383" t="s">
        <v>6737</v>
      </c>
      <c r="F1383">
        <v>2003</v>
      </c>
      <c r="G1383" t="s">
        <v>1026</v>
      </c>
      <c r="H1383" t="s">
        <v>6738</v>
      </c>
      <c r="J1383" t="s">
        <v>26</v>
      </c>
      <c r="K1383" t="s">
        <v>27</v>
      </c>
      <c r="L1383" t="b">
        <v>0</v>
      </c>
      <c r="M1383" t="s">
        <v>6739</v>
      </c>
      <c r="N1383" t="str">
        <f>"821/.912"</f>
        <v>821/.912</v>
      </c>
      <c r="P1383" t="b">
        <v>0</v>
      </c>
      <c r="R1383" t="str">
        <f>"9780773524200"</f>
        <v>9780773524200</v>
      </c>
      <c r="S1383" t="str">
        <f>"9780773570481"</f>
        <v>9780773570481</v>
      </c>
      <c r="T1383">
        <v>243614281</v>
      </c>
    </row>
    <row r="1384" spans="1:20" x14ac:dyDescent="0.25">
      <c r="A1384">
        <v>623391</v>
      </c>
      <c r="B1384" t="s">
        <v>6740</v>
      </c>
      <c r="D1384" t="s">
        <v>5731</v>
      </c>
      <c r="E1384" t="s">
        <v>6741</v>
      </c>
      <c r="F1384">
        <v>2007</v>
      </c>
      <c r="G1384" t="s">
        <v>6742</v>
      </c>
      <c r="H1384" t="s">
        <v>6743</v>
      </c>
      <c r="I1384" t="s">
        <v>6744</v>
      </c>
      <c r="J1384" t="s">
        <v>26</v>
      </c>
      <c r="K1384" t="s">
        <v>86</v>
      </c>
      <c r="L1384" t="b">
        <v>1</v>
      </c>
      <c r="M1384" t="s">
        <v>6745</v>
      </c>
      <c r="N1384" t="str">
        <f>"111/.84"</f>
        <v>111/.84</v>
      </c>
      <c r="P1384" t="b">
        <v>0</v>
      </c>
      <c r="R1384" t="str">
        <f>"9780739119259"</f>
        <v>9780739119259</v>
      </c>
      <c r="S1384" t="str">
        <f>"9780739160084"</f>
        <v>9780739160084</v>
      </c>
      <c r="T1384">
        <v>607585514</v>
      </c>
    </row>
    <row r="1385" spans="1:20" x14ac:dyDescent="0.25">
      <c r="A1385">
        <v>621523</v>
      </c>
      <c r="B1385" t="s">
        <v>6746</v>
      </c>
      <c r="D1385" t="s">
        <v>5060</v>
      </c>
      <c r="E1385" t="s">
        <v>5060</v>
      </c>
      <c r="F1385">
        <v>2013</v>
      </c>
      <c r="G1385" t="s">
        <v>6747</v>
      </c>
      <c r="H1385" t="s">
        <v>6748</v>
      </c>
      <c r="I1385" t="s">
        <v>6749</v>
      </c>
      <c r="J1385" t="s">
        <v>26</v>
      </c>
      <c r="K1385" t="s">
        <v>27</v>
      </c>
      <c r="L1385" t="b">
        <v>1</v>
      </c>
      <c r="M1385" t="s">
        <v>5063</v>
      </c>
      <c r="N1385" t="str">
        <f>"344.94099"</f>
        <v>344.94099</v>
      </c>
      <c r="O1385" t="s">
        <v>5064</v>
      </c>
      <c r="P1385" t="b">
        <v>0</v>
      </c>
      <c r="R1385" t="str">
        <f>"9781922084279"</f>
        <v>9781922084279</v>
      </c>
      <c r="S1385" t="str">
        <f>"9781922084286"</f>
        <v>9781922084286</v>
      </c>
      <c r="T1385">
        <v>846792162</v>
      </c>
    </row>
    <row r="1386" spans="1:20" x14ac:dyDescent="0.25">
      <c r="A1386">
        <v>621521</v>
      </c>
      <c r="B1386" t="s">
        <v>6750</v>
      </c>
      <c r="D1386" t="s">
        <v>5060</v>
      </c>
      <c r="E1386" t="s">
        <v>5060</v>
      </c>
      <c r="F1386">
        <v>2013</v>
      </c>
      <c r="G1386" t="s">
        <v>6751</v>
      </c>
      <c r="H1386" t="s">
        <v>6752</v>
      </c>
      <c r="I1386" t="s">
        <v>6753</v>
      </c>
      <c r="J1386" t="s">
        <v>26</v>
      </c>
      <c r="K1386" t="s">
        <v>27</v>
      </c>
      <c r="L1386" t="b">
        <v>1</v>
      </c>
      <c r="M1386" t="s">
        <v>5063</v>
      </c>
      <c r="N1386" t="str">
        <f>"578.68"</f>
        <v>578.68</v>
      </c>
      <c r="O1386" t="s">
        <v>5064</v>
      </c>
      <c r="P1386" t="b">
        <v>0</v>
      </c>
      <c r="R1386" t="str">
        <f>"9781922084231"</f>
        <v>9781922084231</v>
      </c>
      <c r="S1386" t="str">
        <f>"9781922084248"</f>
        <v>9781922084248</v>
      </c>
      <c r="T1386">
        <v>846790490</v>
      </c>
    </row>
    <row r="1387" spans="1:20" x14ac:dyDescent="0.25">
      <c r="A1387">
        <v>621520</v>
      </c>
      <c r="B1387" t="s">
        <v>6754</v>
      </c>
      <c r="D1387" t="s">
        <v>5060</v>
      </c>
      <c r="E1387" t="s">
        <v>5060</v>
      </c>
      <c r="F1387">
        <v>2013</v>
      </c>
      <c r="G1387" t="s">
        <v>3721</v>
      </c>
      <c r="H1387" t="s">
        <v>6755</v>
      </c>
      <c r="I1387" t="s">
        <v>6756</v>
      </c>
      <c r="J1387" t="s">
        <v>26</v>
      </c>
      <c r="K1387" t="s">
        <v>27</v>
      </c>
      <c r="L1387" t="b">
        <v>1</v>
      </c>
      <c r="M1387" t="s">
        <v>5063</v>
      </c>
      <c r="N1387" t="str">
        <f>"362.10994"</f>
        <v>362.10994</v>
      </c>
      <c r="O1387" t="s">
        <v>5064</v>
      </c>
      <c r="P1387" t="b">
        <v>0</v>
      </c>
      <c r="R1387" t="str">
        <f>"9781922084217"</f>
        <v>9781922084217</v>
      </c>
      <c r="S1387" t="str">
        <f>"9781922084224"</f>
        <v>9781922084224</v>
      </c>
      <c r="T1387">
        <v>846792067</v>
      </c>
    </row>
    <row r="1388" spans="1:20" x14ac:dyDescent="0.25">
      <c r="A1388">
        <v>620623</v>
      </c>
      <c r="B1388" t="s">
        <v>6757</v>
      </c>
      <c r="D1388" t="s">
        <v>131</v>
      </c>
      <c r="E1388" t="s">
        <v>1885</v>
      </c>
      <c r="F1388">
        <v>2014</v>
      </c>
      <c r="G1388" t="s">
        <v>6758</v>
      </c>
      <c r="H1388" t="s">
        <v>6759</v>
      </c>
      <c r="I1388" t="s">
        <v>6760</v>
      </c>
      <c r="J1388" t="s">
        <v>26</v>
      </c>
      <c r="K1388" t="s">
        <v>86</v>
      </c>
      <c r="L1388" t="b">
        <v>1</v>
      </c>
      <c r="M1388" t="s">
        <v>6761</v>
      </c>
      <c r="N1388" t="str">
        <f>"540"</f>
        <v>540</v>
      </c>
      <c r="O1388" t="s">
        <v>6762</v>
      </c>
      <c r="P1388" t="b">
        <v>0</v>
      </c>
      <c r="Q1388" t="b">
        <v>0</v>
      </c>
      <c r="R1388" t="str">
        <f>"9781578593743"</f>
        <v>9781578593743</v>
      </c>
      <c r="S1388" t="str">
        <f>"9781578594566"</f>
        <v>9781578594566</v>
      </c>
      <c r="T1388">
        <v>857071041</v>
      </c>
    </row>
    <row r="1389" spans="1:20" x14ac:dyDescent="0.25">
      <c r="A1389">
        <v>619964</v>
      </c>
      <c r="B1389" t="s">
        <v>6763</v>
      </c>
      <c r="C1389" t="s">
        <v>6764</v>
      </c>
      <c r="D1389" t="s">
        <v>219</v>
      </c>
      <c r="E1389" t="s">
        <v>219</v>
      </c>
      <c r="F1389">
        <v>2013</v>
      </c>
      <c r="G1389" t="s">
        <v>6765</v>
      </c>
      <c r="H1389" t="s">
        <v>6766</v>
      </c>
      <c r="I1389" t="s">
        <v>6767</v>
      </c>
      <c r="J1389" t="s">
        <v>26</v>
      </c>
      <c r="K1389" t="s">
        <v>86</v>
      </c>
      <c r="L1389" t="b">
        <v>1</v>
      </c>
      <c r="M1389" t="s">
        <v>6768</v>
      </c>
      <c r="N1389" t="str">
        <f>"495/.486421"</f>
        <v>495/.486421</v>
      </c>
      <c r="P1389" t="b">
        <v>0</v>
      </c>
      <c r="Q1389" t="b">
        <v>0</v>
      </c>
      <c r="S1389" t="str">
        <f>"9781614290971"</f>
        <v>9781614290971</v>
      </c>
      <c r="T1389">
        <v>864704117</v>
      </c>
    </row>
    <row r="1390" spans="1:20" x14ac:dyDescent="0.25">
      <c r="A1390">
        <v>616037</v>
      </c>
      <c r="B1390" t="s">
        <v>6769</v>
      </c>
      <c r="C1390" t="s">
        <v>6770</v>
      </c>
      <c r="D1390" t="s">
        <v>5418</v>
      </c>
      <c r="E1390" t="s">
        <v>6771</v>
      </c>
      <c r="F1390">
        <v>2013</v>
      </c>
      <c r="G1390" t="s">
        <v>6772</v>
      </c>
      <c r="H1390" t="s">
        <v>6773</v>
      </c>
      <c r="I1390" t="s">
        <v>6774</v>
      </c>
      <c r="J1390" t="s">
        <v>26</v>
      </c>
      <c r="K1390" t="s">
        <v>27</v>
      </c>
      <c r="L1390" t="b">
        <v>1</v>
      </c>
      <c r="M1390" t="s">
        <v>6775</v>
      </c>
      <c r="N1390" t="str">
        <f>"595.7890994"</f>
        <v>595.7890994</v>
      </c>
      <c r="P1390" t="b">
        <v>0</v>
      </c>
      <c r="R1390" t="str">
        <f>"9781921833090"</f>
        <v>9781921833090</v>
      </c>
      <c r="S1390" t="str">
        <f>"9781921833106"</f>
        <v>9781921833106</v>
      </c>
      <c r="T1390">
        <v>844118179</v>
      </c>
    </row>
    <row r="1391" spans="1:20" x14ac:dyDescent="0.25">
      <c r="A1391">
        <v>613536</v>
      </c>
      <c r="B1391" t="s">
        <v>6776</v>
      </c>
      <c r="D1391" t="s">
        <v>5501</v>
      </c>
      <c r="E1391" t="s">
        <v>5502</v>
      </c>
      <c r="F1391">
        <v>2009</v>
      </c>
      <c r="G1391" t="s">
        <v>4608</v>
      </c>
      <c r="H1391" t="s">
        <v>6777</v>
      </c>
      <c r="I1391" t="s">
        <v>6778</v>
      </c>
      <c r="J1391" t="s">
        <v>26</v>
      </c>
      <c r="K1391" t="s">
        <v>86</v>
      </c>
      <c r="L1391" t="b">
        <v>1</v>
      </c>
      <c r="M1391" t="s">
        <v>6779</v>
      </c>
      <c r="N1391" t="str">
        <f>"296.3/3;296.33"</f>
        <v>296.3/3;296.33</v>
      </c>
      <c r="P1391" t="b">
        <v>0</v>
      </c>
      <c r="R1391" t="str">
        <f>"9780742562202"</f>
        <v>9780742562202</v>
      </c>
      <c r="S1391" t="str">
        <f>"9780742566491"</f>
        <v>9780742566491</v>
      </c>
      <c r="T1391">
        <v>854521329</v>
      </c>
    </row>
    <row r="1392" spans="1:20" x14ac:dyDescent="0.25">
      <c r="A1392">
        <v>611647</v>
      </c>
      <c r="B1392" t="s">
        <v>6780</v>
      </c>
      <c r="C1392" t="s">
        <v>6781</v>
      </c>
      <c r="D1392" t="s">
        <v>131</v>
      </c>
      <c r="E1392" t="s">
        <v>5863</v>
      </c>
      <c r="F1392">
        <v>2013</v>
      </c>
      <c r="G1392" t="s">
        <v>1738</v>
      </c>
      <c r="H1392" t="s">
        <v>6782</v>
      </c>
      <c r="I1392" t="s">
        <v>6783</v>
      </c>
      <c r="J1392" t="s">
        <v>26</v>
      </c>
      <c r="K1392" t="s">
        <v>48</v>
      </c>
      <c r="L1392" t="b">
        <v>1</v>
      </c>
      <c r="M1392" t="s">
        <v>6784</v>
      </c>
      <c r="N1392" t="str">
        <f>"302.23"</f>
        <v>302.23</v>
      </c>
      <c r="P1392" t="b">
        <v>0</v>
      </c>
      <c r="R1392" t="str">
        <f>"9781584230731"</f>
        <v>9781584230731</v>
      </c>
      <c r="S1392" t="str">
        <f>"9781584235125"</f>
        <v>9781584235125</v>
      </c>
      <c r="T1392">
        <v>852757515</v>
      </c>
    </row>
    <row r="1393" spans="1:20" x14ac:dyDescent="0.25">
      <c r="A1393">
        <v>611110</v>
      </c>
      <c r="B1393" t="s">
        <v>6785</v>
      </c>
      <c r="C1393" t="s">
        <v>6786</v>
      </c>
      <c r="D1393" t="s">
        <v>5731</v>
      </c>
      <c r="E1393" t="s">
        <v>6741</v>
      </c>
      <c r="F1393">
        <v>2006</v>
      </c>
      <c r="G1393" t="s">
        <v>23</v>
      </c>
      <c r="H1393" t="s">
        <v>6787</v>
      </c>
      <c r="I1393" t="s">
        <v>6788</v>
      </c>
      <c r="J1393" t="s">
        <v>26</v>
      </c>
      <c r="K1393" t="s">
        <v>86</v>
      </c>
      <c r="L1393" t="b">
        <v>1</v>
      </c>
      <c r="M1393" t="s">
        <v>6745</v>
      </c>
      <c r="N1393" t="str">
        <f>"323.44"</f>
        <v>323.44</v>
      </c>
      <c r="P1393" t="b">
        <v>0</v>
      </c>
      <c r="R1393" t="str">
        <f>"9780739110751"</f>
        <v>9780739110751</v>
      </c>
      <c r="S1393" t="str">
        <f>"9780739157152"</f>
        <v>9780739157152</v>
      </c>
      <c r="T1393">
        <v>854520738</v>
      </c>
    </row>
    <row r="1394" spans="1:20" x14ac:dyDescent="0.25">
      <c r="A1394">
        <v>610562</v>
      </c>
      <c r="B1394" t="s">
        <v>6789</v>
      </c>
      <c r="D1394" t="s">
        <v>5242</v>
      </c>
      <c r="E1394" t="s">
        <v>5243</v>
      </c>
      <c r="F1394">
        <v>2013</v>
      </c>
      <c r="G1394" t="s">
        <v>2203</v>
      </c>
      <c r="H1394" t="s">
        <v>6790</v>
      </c>
      <c r="I1394" t="s">
        <v>6791</v>
      </c>
      <c r="J1394" t="s">
        <v>26</v>
      </c>
      <c r="K1394" t="s">
        <v>86</v>
      </c>
      <c r="L1394" t="b">
        <v>1</v>
      </c>
      <c r="M1394" t="s">
        <v>6792</v>
      </c>
      <c r="N1394" t="str">
        <f>"813"</f>
        <v>813</v>
      </c>
      <c r="P1394" t="b">
        <v>1</v>
      </c>
      <c r="R1394" t="str">
        <f>"9789956790203"</f>
        <v>9789956790203</v>
      </c>
      <c r="S1394" t="str">
        <f>"9789956790937"</f>
        <v>9789956790937</v>
      </c>
      <c r="T1394">
        <v>854520708</v>
      </c>
    </row>
    <row r="1395" spans="1:20" x14ac:dyDescent="0.25">
      <c r="A1395">
        <v>608933</v>
      </c>
      <c r="B1395" t="s">
        <v>6793</v>
      </c>
      <c r="D1395" t="s">
        <v>6794</v>
      </c>
      <c r="E1395" t="s">
        <v>6795</v>
      </c>
      <c r="F1395">
        <v>2009</v>
      </c>
      <c r="G1395" t="s">
        <v>6796</v>
      </c>
      <c r="H1395" t="s">
        <v>6797</v>
      </c>
      <c r="I1395" t="s">
        <v>6798</v>
      </c>
      <c r="J1395" t="s">
        <v>26</v>
      </c>
      <c r="K1395" t="s">
        <v>27</v>
      </c>
      <c r="L1395" t="b">
        <v>1</v>
      </c>
      <c r="M1395" t="s">
        <v>6799</v>
      </c>
      <c r="N1395" t="str">
        <f>"636.50896"</f>
        <v>636.50896</v>
      </c>
      <c r="P1395" t="b">
        <v>0</v>
      </c>
      <c r="R1395" t="str">
        <f>"9788170355953"</f>
        <v>9788170355953</v>
      </c>
      <c r="S1395" t="str">
        <f>"9789383048939"</f>
        <v>9789383048939</v>
      </c>
      <c r="T1395">
        <v>610254549</v>
      </c>
    </row>
    <row r="1396" spans="1:20" x14ac:dyDescent="0.25">
      <c r="A1396">
        <v>608447</v>
      </c>
      <c r="B1396" t="s">
        <v>6800</v>
      </c>
      <c r="D1396" t="s">
        <v>6794</v>
      </c>
      <c r="E1396" t="s">
        <v>6795</v>
      </c>
      <c r="F1396">
        <v>2009</v>
      </c>
      <c r="G1396" t="s">
        <v>6801</v>
      </c>
      <c r="H1396" t="s">
        <v>6802</v>
      </c>
      <c r="I1396" t="s">
        <v>6803</v>
      </c>
      <c r="J1396" t="s">
        <v>26</v>
      </c>
      <c r="K1396" t="s">
        <v>27</v>
      </c>
      <c r="L1396" t="b">
        <v>1</v>
      </c>
      <c r="M1396" t="s">
        <v>6804</v>
      </c>
      <c r="N1396" t="str">
        <f>"333.7140954"</f>
        <v>333.7140954</v>
      </c>
      <c r="P1396" t="b">
        <v>0</v>
      </c>
      <c r="Q1396" t="b">
        <v>1</v>
      </c>
      <c r="R1396" t="str">
        <f>"9788170356097"</f>
        <v>9788170356097</v>
      </c>
      <c r="S1396" t="str">
        <f>"9789383129669"</f>
        <v>9789383129669</v>
      </c>
      <c r="T1396">
        <v>852898691</v>
      </c>
    </row>
    <row r="1397" spans="1:20" x14ac:dyDescent="0.25">
      <c r="A1397">
        <v>608426</v>
      </c>
      <c r="B1397" t="s">
        <v>6805</v>
      </c>
      <c r="D1397" t="s">
        <v>6794</v>
      </c>
      <c r="E1397" t="s">
        <v>6795</v>
      </c>
      <c r="F1397">
        <v>2009</v>
      </c>
      <c r="G1397" t="s">
        <v>6806</v>
      </c>
      <c r="H1397" t="s">
        <v>6807</v>
      </c>
      <c r="I1397" t="s">
        <v>6808</v>
      </c>
      <c r="J1397" t="s">
        <v>26</v>
      </c>
      <c r="K1397" t="s">
        <v>27</v>
      </c>
      <c r="L1397" t="b">
        <v>1</v>
      </c>
      <c r="M1397" t="s">
        <v>6809</v>
      </c>
      <c r="N1397" t="str">
        <f>"338.927"</f>
        <v>338.927</v>
      </c>
      <c r="P1397" t="b">
        <v>0</v>
      </c>
      <c r="Q1397" t="b">
        <v>1</v>
      </c>
      <c r="R1397" t="str">
        <f>"9788170355656"</f>
        <v>9788170355656</v>
      </c>
      <c r="S1397" t="str">
        <f>"9789383048649"</f>
        <v>9789383048649</v>
      </c>
      <c r="T1397">
        <v>853501527</v>
      </c>
    </row>
    <row r="1398" spans="1:20" x14ac:dyDescent="0.25">
      <c r="A1398">
        <v>607732</v>
      </c>
      <c r="B1398" t="s">
        <v>6810</v>
      </c>
      <c r="C1398" t="s">
        <v>6811</v>
      </c>
      <c r="D1398" t="s">
        <v>123</v>
      </c>
      <c r="E1398" t="s">
        <v>219</v>
      </c>
      <c r="F1398">
        <v>2013</v>
      </c>
      <c r="G1398" t="s">
        <v>283</v>
      </c>
      <c r="H1398" t="s">
        <v>6812</v>
      </c>
      <c r="I1398" t="s">
        <v>6813</v>
      </c>
      <c r="J1398" t="s">
        <v>26</v>
      </c>
      <c r="K1398" t="s">
        <v>48</v>
      </c>
      <c r="L1398" t="b">
        <v>1</v>
      </c>
      <c r="M1398" t="s">
        <v>6814</v>
      </c>
      <c r="N1398" t="str">
        <f>"951/.5"</f>
        <v>951/.5</v>
      </c>
      <c r="P1398" t="b">
        <v>0</v>
      </c>
      <c r="Q1398" t="b">
        <v>0</v>
      </c>
      <c r="R1398" t="str">
        <f>"9781614290711"</f>
        <v>9781614290711</v>
      </c>
      <c r="S1398" t="str">
        <f>"9781614290902"</f>
        <v>9781614290902</v>
      </c>
      <c r="T1398">
        <v>854139941</v>
      </c>
    </row>
    <row r="1399" spans="1:20" x14ac:dyDescent="0.25">
      <c r="A1399">
        <v>607068</v>
      </c>
      <c r="B1399" t="s">
        <v>6815</v>
      </c>
      <c r="C1399" t="s">
        <v>6816</v>
      </c>
      <c r="D1399" t="s">
        <v>5276</v>
      </c>
      <c r="E1399" t="s">
        <v>6817</v>
      </c>
      <c r="F1399">
        <v>2013</v>
      </c>
      <c r="G1399" t="s">
        <v>242</v>
      </c>
      <c r="H1399" t="s">
        <v>6818</v>
      </c>
      <c r="J1399" t="s">
        <v>26</v>
      </c>
      <c r="K1399" t="s">
        <v>48</v>
      </c>
      <c r="L1399" t="b">
        <v>1</v>
      </c>
      <c r="M1399" t="s">
        <v>6819</v>
      </c>
      <c r="N1399" t="str">
        <f>"306.09415"</f>
        <v>306.09415</v>
      </c>
      <c r="P1399" t="b">
        <v>0</v>
      </c>
      <c r="S1399" t="str">
        <f>"9781461934561"</f>
        <v>9781461934561</v>
      </c>
      <c r="T1399">
        <v>854563316</v>
      </c>
    </row>
    <row r="1400" spans="1:20" x14ac:dyDescent="0.25">
      <c r="A1400">
        <v>607067</v>
      </c>
      <c r="B1400" t="s">
        <v>6820</v>
      </c>
      <c r="C1400" t="s">
        <v>6821</v>
      </c>
      <c r="D1400" t="s">
        <v>5276</v>
      </c>
      <c r="E1400" t="s">
        <v>6817</v>
      </c>
      <c r="F1400">
        <v>2013</v>
      </c>
      <c r="G1400" t="s">
        <v>242</v>
      </c>
      <c r="H1400" t="s">
        <v>6822</v>
      </c>
      <c r="I1400" t="s">
        <v>6823</v>
      </c>
      <c r="J1400" t="s">
        <v>26</v>
      </c>
      <c r="K1400" t="s">
        <v>48</v>
      </c>
      <c r="L1400" t="b">
        <v>1</v>
      </c>
      <c r="M1400" t="s">
        <v>6824</v>
      </c>
      <c r="N1400" t="str">
        <f>"355.00942"</f>
        <v>355.00942</v>
      </c>
      <c r="P1400" t="b">
        <v>0</v>
      </c>
      <c r="S1400" t="str">
        <f>"9781461934554"</f>
        <v>9781461934554</v>
      </c>
      <c r="T1400">
        <v>905696221</v>
      </c>
    </row>
    <row r="1401" spans="1:20" x14ac:dyDescent="0.25">
      <c r="A1401">
        <v>607049</v>
      </c>
      <c r="B1401" t="s">
        <v>6825</v>
      </c>
      <c r="D1401" t="s">
        <v>107</v>
      </c>
      <c r="E1401" t="s">
        <v>108</v>
      </c>
      <c r="F1401">
        <v>2013</v>
      </c>
      <c r="G1401" t="s">
        <v>4617</v>
      </c>
      <c r="H1401" t="s">
        <v>6826</v>
      </c>
      <c r="I1401" t="s">
        <v>6827</v>
      </c>
      <c r="J1401" t="s">
        <v>26</v>
      </c>
      <c r="K1401" t="s">
        <v>86</v>
      </c>
      <c r="L1401" t="b">
        <v>1</v>
      </c>
      <c r="M1401" t="s">
        <v>6828</v>
      </c>
      <c r="N1401" t="str">
        <f>"554.11"</f>
        <v>554.11</v>
      </c>
      <c r="P1401" t="b">
        <v>0</v>
      </c>
      <c r="Q1401" t="b">
        <v>0</v>
      </c>
      <c r="R1401" t="str">
        <f>"9781780460093"</f>
        <v>9781780460093</v>
      </c>
      <c r="S1401" t="str">
        <f>"9781903544884"</f>
        <v>9781903544884</v>
      </c>
      <c r="T1401">
        <v>854910414</v>
      </c>
    </row>
    <row r="1402" spans="1:20" x14ac:dyDescent="0.25">
      <c r="A1402">
        <v>607048</v>
      </c>
      <c r="B1402" t="s">
        <v>6829</v>
      </c>
      <c r="C1402" t="s">
        <v>316</v>
      </c>
      <c r="D1402" t="s">
        <v>107</v>
      </c>
      <c r="E1402" t="s">
        <v>108</v>
      </c>
      <c r="F1402">
        <v>2013</v>
      </c>
      <c r="G1402" t="s">
        <v>109</v>
      </c>
      <c r="H1402" t="s">
        <v>6830</v>
      </c>
      <c r="I1402" t="s">
        <v>6831</v>
      </c>
      <c r="J1402" t="s">
        <v>26</v>
      </c>
      <c r="K1402" t="s">
        <v>86</v>
      </c>
      <c r="L1402" t="b">
        <v>1</v>
      </c>
      <c r="M1402" t="s">
        <v>6832</v>
      </c>
      <c r="N1402" t="str">
        <f>"559.9"</f>
        <v>559.9</v>
      </c>
      <c r="P1402" t="b">
        <v>0</v>
      </c>
      <c r="Q1402" t="b">
        <v>0</v>
      </c>
      <c r="R1402" t="str">
        <f>"9781780460154"</f>
        <v>9781780460154</v>
      </c>
      <c r="S1402" t="str">
        <f>"9781903544877"</f>
        <v>9781903544877</v>
      </c>
      <c r="T1402">
        <v>854371319</v>
      </c>
    </row>
    <row r="1403" spans="1:20" x14ac:dyDescent="0.25">
      <c r="A1403">
        <v>603799</v>
      </c>
      <c r="B1403" t="s">
        <v>6833</v>
      </c>
      <c r="C1403" t="s">
        <v>6834</v>
      </c>
      <c r="D1403" t="s">
        <v>1364</v>
      </c>
      <c r="E1403" t="s">
        <v>6835</v>
      </c>
      <c r="F1403">
        <v>2009</v>
      </c>
      <c r="G1403" t="s">
        <v>6836</v>
      </c>
      <c r="H1403" t="s">
        <v>6837</v>
      </c>
      <c r="I1403" t="s">
        <v>6838</v>
      </c>
      <c r="J1403" t="s">
        <v>26</v>
      </c>
      <c r="K1403" t="s">
        <v>27</v>
      </c>
      <c r="L1403" t="b">
        <v>1</v>
      </c>
      <c r="M1403" t="s">
        <v>6839</v>
      </c>
      <c r="N1403" t="str">
        <f>"720.846"</f>
        <v>720.846</v>
      </c>
      <c r="O1403" t="s">
        <v>6840</v>
      </c>
      <c r="P1403" t="b">
        <v>0</v>
      </c>
      <c r="R1403" t="str">
        <f>"9783764388713"</f>
        <v>9783764388713</v>
      </c>
      <c r="S1403" t="str">
        <f>"9783034608961"</f>
        <v>9783034608961</v>
      </c>
      <c r="T1403">
        <v>851315185</v>
      </c>
    </row>
    <row r="1404" spans="1:20" x14ac:dyDescent="0.25">
      <c r="A1404">
        <v>603443</v>
      </c>
      <c r="B1404" t="s">
        <v>6841</v>
      </c>
      <c r="C1404" t="s">
        <v>6842</v>
      </c>
      <c r="D1404" t="s">
        <v>1364</v>
      </c>
      <c r="E1404" t="s">
        <v>1364</v>
      </c>
      <c r="F1404">
        <v>2011</v>
      </c>
      <c r="G1404" t="s">
        <v>6843</v>
      </c>
      <c r="H1404" t="s">
        <v>6844</v>
      </c>
      <c r="I1404" t="s">
        <v>6845</v>
      </c>
      <c r="J1404" t="s">
        <v>26</v>
      </c>
      <c r="K1404" t="s">
        <v>27</v>
      </c>
      <c r="L1404" t="b">
        <v>1</v>
      </c>
      <c r="M1404" t="s">
        <v>6846</v>
      </c>
      <c r="N1404" t="str">
        <f>"179.7"</f>
        <v>179.7</v>
      </c>
      <c r="P1404" t="b">
        <v>0</v>
      </c>
      <c r="R1404" t="str">
        <f>"9783110319262"</f>
        <v>9783110319262</v>
      </c>
      <c r="S1404" t="str">
        <f>"9783110319712"</f>
        <v>9783110319712</v>
      </c>
      <c r="T1404">
        <v>855280712</v>
      </c>
    </row>
    <row r="1405" spans="1:20" x14ac:dyDescent="0.25">
      <c r="A1405">
        <v>603284</v>
      </c>
      <c r="B1405" t="s">
        <v>6847</v>
      </c>
      <c r="D1405" t="s">
        <v>203</v>
      </c>
      <c r="E1405" t="s">
        <v>1109</v>
      </c>
      <c r="F1405">
        <v>2013</v>
      </c>
      <c r="G1405" t="s">
        <v>1110</v>
      </c>
      <c r="H1405" t="s">
        <v>6848</v>
      </c>
      <c r="I1405" t="s">
        <v>6849</v>
      </c>
      <c r="J1405" t="s">
        <v>26</v>
      </c>
      <c r="K1405" t="s">
        <v>86</v>
      </c>
      <c r="L1405" t="b">
        <v>1</v>
      </c>
      <c r="M1405" t="s">
        <v>6850</v>
      </c>
      <c r="N1405" t="str">
        <f>"616.85250651"</f>
        <v>616.85250651</v>
      </c>
      <c r="P1405" t="b">
        <v>0</v>
      </c>
      <c r="R1405" t="str">
        <f>"9781908020901"</f>
        <v>9781908020901</v>
      </c>
      <c r="S1405" t="str">
        <f>"9781908020925"</f>
        <v>9781908020925</v>
      </c>
      <c r="T1405">
        <v>851156603</v>
      </c>
    </row>
    <row r="1406" spans="1:20" x14ac:dyDescent="0.25">
      <c r="A1406">
        <v>603283</v>
      </c>
      <c r="B1406" t="s">
        <v>6851</v>
      </c>
      <c r="D1406" t="s">
        <v>203</v>
      </c>
      <c r="E1406" t="s">
        <v>1109</v>
      </c>
      <c r="F1406">
        <v>2013</v>
      </c>
      <c r="G1406" t="s">
        <v>1110</v>
      </c>
      <c r="H1406" t="s">
        <v>6852</v>
      </c>
      <c r="I1406" t="s">
        <v>6853</v>
      </c>
      <c r="J1406" t="s">
        <v>26</v>
      </c>
      <c r="K1406" t="s">
        <v>86</v>
      </c>
      <c r="L1406" t="b">
        <v>1</v>
      </c>
      <c r="M1406" t="s">
        <v>6854</v>
      </c>
      <c r="N1406" t="str">
        <f>"616.85820651"</f>
        <v>616.85820651</v>
      </c>
      <c r="P1406" t="b">
        <v>0</v>
      </c>
      <c r="R1406" t="str">
        <f>"9781908020956"</f>
        <v>9781908020956</v>
      </c>
      <c r="S1406" t="str">
        <f>"9781908020963"</f>
        <v>9781908020963</v>
      </c>
      <c r="T1406">
        <v>851155594</v>
      </c>
    </row>
    <row r="1407" spans="1:20" x14ac:dyDescent="0.25">
      <c r="A1407">
        <v>603282</v>
      </c>
      <c r="B1407" t="s">
        <v>6855</v>
      </c>
      <c r="D1407" t="s">
        <v>203</v>
      </c>
      <c r="E1407" t="s">
        <v>1109</v>
      </c>
      <c r="F1407">
        <v>2013</v>
      </c>
      <c r="G1407" t="s">
        <v>1110</v>
      </c>
      <c r="H1407" t="s">
        <v>6856</v>
      </c>
      <c r="I1407" t="s">
        <v>6857</v>
      </c>
      <c r="J1407" t="s">
        <v>26</v>
      </c>
      <c r="K1407" t="s">
        <v>86</v>
      </c>
      <c r="L1407" t="b">
        <v>1</v>
      </c>
      <c r="M1407" t="s">
        <v>6858</v>
      </c>
      <c r="N1407" t="str">
        <f>"346.420138"</f>
        <v>346.420138</v>
      </c>
      <c r="P1407" t="b">
        <v>0</v>
      </c>
      <c r="R1407" t="str">
        <f>"9781909726000"</f>
        <v>9781909726000</v>
      </c>
      <c r="S1407" t="str">
        <f>"9781909726024"</f>
        <v>9781909726024</v>
      </c>
      <c r="T1407">
        <v>853167032</v>
      </c>
    </row>
    <row r="1408" spans="1:20" x14ac:dyDescent="0.25">
      <c r="A1408">
        <v>601478</v>
      </c>
      <c r="B1408" t="s">
        <v>6859</v>
      </c>
      <c r="C1408" t="s">
        <v>6860</v>
      </c>
      <c r="D1408" t="s">
        <v>6861</v>
      </c>
      <c r="E1408" t="s">
        <v>6862</v>
      </c>
      <c r="F1408">
        <v>2012</v>
      </c>
      <c r="G1408" t="s">
        <v>6371</v>
      </c>
      <c r="H1408" t="s">
        <v>6863</v>
      </c>
      <c r="I1408" t="s">
        <v>6864</v>
      </c>
      <c r="J1408" t="s">
        <v>26</v>
      </c>
      <c r="K1408" t="s">
        <v>48</v>
      </c>
      <c r="L1408" t="b">
        <v>1</v>
      </c>
      <c r="M1408" t="s">
        <v>6865</v>
      </c>
      <c r="N1408" t="str">
        <f>"578"</f>
        <v>578</v>
      </c>
      <c r="P1408" t="b">
        <v>0</v>
      </c>
      <c r="R1408" t="str">
        <f>"9781423622246"</f>
        <v>9781423622246</v>
      </c>
      <c r="S1408" t="str">
        <f>"9781423622253"</f>
        <v>9781423622253</v>
      </c>
      <c r="T1408">
        <v>841514772</v>
      </c>
    </row>
    <row r="1409" spans="1:20" x14ac:dyDescent="0.25">
      <c r="A1409">
        <v>598182</v>
      </c>
      <c r="B1409" t="s">
        <v>6866</v>
      </c>
      <c r="C1409" t="s">
        <v>6867</v>
      </c>
      <c r="D1409" t="s">
        <v>2238</v>
      </c>
      <c r="E1409" t="s">
        <v>2239</v>
      </c>
      <c r="F1409">
        <v>2001</v>
      </c>
      <c r="G1409" t="s">
        <v>2145</v>
      </c>
      <c r="H1409" t="s">
        <v>6868</v>
      </c>
      <c r="I1409" t="s">
        <v>6869</v>
      </c>
      <c r="J1409" t="s">
        <v>26</v>
      </c>
      <c r="K1409" t="s">
        <v>86</v>
      </c>
      <c r="L1409" t="b">
        <v>1</v>
      </c>
      <c r="M1409" t="s">
        <v>6870</v>
      </c>
      <c r="N1409" t="str">
        <f>"331.7/02/02854678"</f>
        <v>331.7/02/02854678</v>
      </c>
      <c r="P1409" t="b">
        <v>0</v>
      </c>
      <c r="T1409">
        <v>889813950</v>
      </c>
    </row>
    <row r="1410" spans="1:20" x14ac:dyDescent="0.25">
      <c r="A1410">
        <v>597355</v>
      </c>
      <c r="B1410" t="s">
        <v>6871</v>
      </c>
      <c r="D1410" t="s">
        <v>2269</v>
      </c>
      <c r="E1410" t="s">
        <v>2269</v>
      </c>
      <c r="F1410">
        <v>2000</v>
      </c>
      <c r="G1410" t="s">
        <v>6872</v>
      </c>
      <c r="H1410" t="s">
        <v>6873</v>
      </c>
      <c r="I1410" t="s">
        <v>6874</v>
      </c>
      <c r="J1410" t="s">
        <v>26</v>
      </c>
      <c r="K1410" t="s">
        <v>27</v>
      </c>
      <c r="L1410" t="b">
        <v>1</v>
      </c>
      <c r="M1410" t="s">
        <v>6875</v>
      </c>
      <c r="N1410" t="str">
        <f>"530.4/4"</f>
        <v>530.4/4</v>
      </c>
      <c r="O1410" t="s">
        <v>6876</v>
      </c>
      <c r="P1410" t="b">
        <v>0</v>
      </c>
      <c r="R1410" t="str">
        <f>"9781560728030"</f>
        <v>9781560728030</v>
      </c>
      <c r="S1410" t="str">
        <f>"9781628084160"</f>
        <v>9781628084160</v>
      </c>
      <c r="T1410">
        <v>848895523</v>
      </c>
    </row>
    <row r="1411" spans="1:20" x14ac:dyDescent="0.25">
      <c r="A1411">
        <v>596793</v>
      </c>
      <c r="B1411" t="s">
        <v>6877</v>
      </c>
      <c r="C1411" t="s">
        <v>6878</v>
      </c>
      <c r="D1411" t="s">
        <v>123</v>
      </c>
      <c r="E1411" t="s">
        <v>6687</v>
      </c>
      <c r="F1411">
        <v>2012</v>
      </c>
      <c r="G1411" t="s">
        <v>270</v>
      </c>
      <c r="H1411" t="s">
        <v>6879</v>
      </c>
      <c r="I1411" t="s">
        <v>6880</v>
      </c>
      <c r="J1411" t="s">
        <v>26</v>
      </c>
      <c r="K1411" t="s">
        <v>48</v>
      </c>
      <c r="L1411" t="b">
        <v>1</v>
      </c>
      <c r="M1411" t="s">
        <v>6679</v>
      </c>
      <c r="N1411" t="str">
        <f>"158.1"</f>
        <v>158.1</v>
      </c>
      <c r="P1411" t="b">
        <v>0</v>
      </c>
      <c r="R1411" t="str">
        <f>"9780757316159"</f>
        <v>9780757316159</v>
      </c>
      <c r="S1411" t="str">
        <f>"9780757316166"</f>
        <v>9780757316166</v>
      </c>
      <c r="T1411">
        <v>848920126</v>
      </c>
    </row>
    <row r="1412" spans="1:20" x14ac:dyDescent="0.25">
      <c r="A1412">
        <v>592504</v>
      </c>
      <c r="B1412" t="s">
        <v>6881</v>
      </c>
      <c r="C1412" t="s">
        <v>6882</v>
      </c>
      <c r="D1412" t="s">
        <v>131</v>
      </c>
      <c r="E1412" t="s">
        <v>276</v>
      </c>
      <c r="F1412">
        <v>2009</v>
      </c>
      <c r="G1412" t="s">
        <v>4612</v>
      </c>
      <c r="H1412" t="s">
        <v>6883</v>
      </c>
      <c r="I1412" t="s">
        <v>6884</v>
      </c>
      <c r="J1412" t="s">
        <v>26</v>
      </c>
      <c r="K1412" t="s">
        <v>86</v>
      </c>
      <c r="L1412" t="b">
        <v>1</v>
      </c>
      <c r="M1412" t="s">
        <v>6885</v>
      </c>
      <c r="N1412" t="str">
        <f>"333.72092"</f>
        <v>333.72092</v>
      </c>
      <c r="P1412" t="b">
        <v>0</v>
      </c>
      <c r="R1412" t="str">
        <f>"9781595340504"</f>
        <v>9781595340504</v>
      </c>
      <c r="S1412" t="str">
        <f>"9781595340986"</f>
        <v>9781595340986</v>
      </c>
      <c r="T1412">
        <v>759158443</v>
      </c>
    </row>
    <row r="1413" spans="1:20" x14ac:dyDescent="0.25">
      <c r="A1413">
        <v>592503</v>
      </c>
      <c r="B1413" t="s">
        <v>6886</v>
      </c>
      <c r="D1413" t="s">
        <v>131</v>
      </c>
      <c r="E1413" t="s">
        <v>276</v>
      </c>
      <c r="F1413">
        <v>2009</v>
      </c>
      <c r="G1413" t="s">
        <v>4249</v>
      </c>
      <c r="H1413" t="s">
        <v>6887</v>
      </c>
      <c r="I1413" t="s">
        <v>6888</v>
      </c>
      <c r="J1413" t="s">
        <v>26</v>
      </c>
      <c r="K1413" t="s">
        <v>86</v>
      </c>
      <c r="L1413" t="b">
        <v>1</v>
      </c>
      <c r="M1413" t="s">
        <v>6889</v>
      </c>
      <c r="N1413" t="str">
        <f>"808.81"</f>
        <v>808.81</v>
      </c>
      <c r="P1413" t="b">
        <v>1</v>
      </c>
      <c r="R1413" t="str">
        <f>"9781595340368"</f>
        <v>9781595340368</v>
      </c>
      <c r="S1413" t="str">
        <f>"9781595340993"</f>
        <v>9781595340993</v>
      </c>
      <c r="T1413">
        <v>759158447</v>
      </c>
    </row>
    <row r="1414" spans="1:20" x14ac:dyDescent="0.25">
      <c r="A1414">
        <v>592502</v>
      </c>
      <c r="B1414" t="s">
        <v>6890</v>
      </c>
      <c r="D1414" t="s">
        <v>131</v>
      </c>
      <c r="E1414" t="s">
        <v>276</v>
      </c>
      <c r="F1414">
        <v>2013</v>
      </c>
      <c r="G1414" t="s">
        <v>6891</v>
      </c>
      <c r="H1414" t="s">
        <v>6892</v>
      </c>
      <c r="I1414" t="s">
        <v>6893</v>
      </c>
      <c r="J1414" t="s">
        <v>26</v>
      </c>
      <c r="K1414" t="s">
        <v>86</v>
      </c>
      <c r="L1414" t="b">
        <v>1</v>
      </c>
      <c r="M1414" t="s">
        <v>6894</v>
      </c>
      <c r="N1414" t="str">
        <f>"811.008/036"</f>
        <v>811.008/036</v>
      </c>
      <c r="P1414" t="b">
        <v>0</v>
      </c>
      <c r="R1414" t="str">
        <f>"9781595341464"</f>
        <v>9781595341464</v>
      </c>
      <c r="S1414" t="str">
        <f>"9781595341457"</f>
        <v>9781595341457</v>
      </c>
      <c r="T1414">
        <v>849948841</v>
      </c>
    </row>
    <row r="1415" spans="1:20" x14ac:dyDescent="0.25">
      <c r="A1415">
        <v>592411</v>
      </c>
      <c r="B1415" t="s">
        <v>6895</v>
      </c>
      <c r="C1415" t="s">
        <v>6896</v>
      </c>
      <c r="D1415" t="s">
        <v>123</v>
      </c>
      <c r="E1415" t="s">
        <v>219</v>
      </c>
      <c r="F1415">
        <v>2012</v>
      </c>
      <c r="G1415" t="s">
        <v>6897</v>
      </c>
      <c r="H1415" t="s">
        <v>6898</v>
      </c>
      <c r="I1415" t="s">
        <v>6899</v>
      </c>
      <c r="J1415" t="s">
        <v>26</v>
      </c>
      <c r="K1415" t="s">
        <v>48</v>
      </c>
      <c r="L1415" t="b">
        <v>1</v>
      </c>
      <c r="M1415" t="s">
        <v>6900</v>
      </c>
      <c r="N1415" t="str">
        <f>"745.6/199515"</f>
        <v>745.6/199515</v>
      </c>
      <c r="P1415" t="b">
        <v>0</v>
      </c>
      <c r="Q1415" t="b">
        <v>0</v>
      </c>
      <c r="R1415" t="str">
        <f>"9780861716999"</f>
        <v>9780861716999</v>
      </c>
      <c r="S1415" t="str">
        <f>"9781614290285"</f>
        <v>9781614290285</v>
      </c>
      <c r="T1415">
        <v>774273520</v>
      </c>
    </row>
    <row r="1416" spans="1:20" x14ac:dyDescent="0.25">
      <c r="A1416">
        <v>592404</v>
      </c>
      <c r="B1416" t="s">
        <v>6901</v>
      </c>
      <c r="C1416" t="s">
        <v>6902</v>
      </c>
      <c r="D1416" t="s">
        <v>123</v>
      </c>
      <c r="E1416" t="s">
        <v>219</v>
      </c>
      <c r="F1416">
        <v>2010</v>
      </c>
      <c r="G1416" t="s">
        <v>862</v>
      </c>
      <c r="H1416" t="s">
        <v>6903</v>
      </c>
      <c r="I1416" t="s">
        <v>6904</v>
      </c>
      <c r="J1416" t="s">
        <v>26</v>
      </c>
      <c r="K1416" t="s">
        <v>48</v>
      </c>
      <c r="L1416" t="b">
        <v>1</v>
      </c>
      <c r="M1416" t="s">
        <v>6905</v>
      </c>
      <c r="N1416" t="str">
        <f>"158.12"</f>
        <v>158.12</v>
      </c>
      <c r="P1416" t="b">
        <v>0</v>
      </c>
      <c r="Q1416" t="b">
        <v>0</v>
      </c>
      <c r="R1416" t="str">
        <f>"9780861716951"</f>
        <v>9780861716951</v>
      </c>
      <c r="S1416" t="str">
        <f>"9780861719358"</f>
        <v>9780861719358</v>
      </c>
      <c r="T1416">
        <v>746495559</v>
      </c>
    </row>
    <row r="1417" spans="1:20" x14ac:dyDescent="0.25">
      <c r="A1417">
        <v>592402</v>
      </c>
      <c r="B1417" t="s">
        <v>6906</v>
      </c>
      <c r="C1417" t="s">
        <v>6907</v>
      </c>
      <c r="D1417" t="s">
        <v>123</v>
      </c>
      <c r="E1417" t="s">
        <v>219</v>
      </c>
      <c r="F1417">
        <v>2010</v>
      </c>
      <c r="G1417" t="s">
        <v>4159</v>
      </c>
      <c r="H1417" t="s">
        <v>6908</v>
      </c>
      <c r="I1417" t="s">
        <v>6909</v>
      </c>
      <c r="J1417" t="s">
        <v>26</v>
      </c>
      <c r="K1417" t="s">
        <v>48</v>
      </c>
      <c r="L1417" t="b">
        <v>1</v>
      </c>
      <c r="M1417" t="s">
        <v>6910</v>
      </c>
      <c r="N1417" t="str">
        <f>"294.3/4212"</f>
        <v>294.3/4212</v>
      </c>
      <c r="P1417" t="b">
        <v>0</v>
      </c>
      <c r="Q1417" t="b">
        <v>0</v>
      </c>
      <c r="R1417" t="str">
        <f>"9780861716852"</f>
        <v>9780861716852</v>
      </c>
      <c r="S1417" t="str">
        <f>"9780861719402"</f>
        <v>9780861719402</v>
      </c>
      <c r="T1417">
        <v>659730094</v>
      </c>
    </row>
    <row r="1418" spans="1:20" x14ac:dyDescent="0.25">
      <c r="A1418">
        <v>592394</v>
      </c>
      <c r="B1418" t="s">
        <v>6911</v>
      </c>
      <c r="C1418" t="s">
        <v>6912</v>
      </c>
      <c r="D1418" t="s">
        <v>123</v>
      </c>
      <c r="E1418" t="s">
        <v>219</v>
      </c>
      <c r="F1418">
        <v>2011</v>
      </c>
      <c r="G1418" t="s">
        <v>6897</v>
      </c>
      <c r="H1418" t="s">
        <v>6913</v>
      </c>
      <c r="I1418" t="s">
        <v>6914</v>
      </c>
      <c r="J1418" t="s">
        <v>26</v>
      </c>
      <c r="K1418" t="s">
        <v>48</v>
      </c>
      <c r="L1418" t="b">
        <v>1</v>
      </c>
      <c r="M1418" t="s">
        <v>6915</v>
      </c>
      <c r="N1418" t="str">
        <f>"294.3/4432"</f>
        <v>294.3/4432</v>
      </c>
      <c r="P1418" t="b">
        <v>0</v>
      </c>
      <c r="Q1418" t="b">
        <v>0</v>
      </c>
      <c r="R1418" t="str">
        <f>"9780861716487"</f>
        <v>9780861716487</v>
      </c>
      <c r="S1418" t="str">
        <f>"9780861716340"</f>
        <v>9780861716340</v>
      </c>
      <c r="T1418">
        <v>742512532</v>
      </c>
    </row>
    <row r="1419" spans="1:20" x14ac:dyDescent="0.25">
      <c r="A1419">
        <v>592384</v>
      </c>
      <c r="B1419" t="s">
        <v>6916</v>
      </c>
      <c r="C1419" t="s">
        <v>6917</v>
      </c>
      <c r="D1419" t="s">
        <v>123</v>
      </c>
      <c r="E1419" t="s">
        <v>219</v>
      </c>
      <c r="F1419">
        <v>2010</v>
      </c>
      <c r="G1419" t="s">
        <v>4159</v>
      </c>
      <c r="H1419" t="s">
        <v>6918</v>
      </c>
      <c r="I1419" t="s">
        <v>6919</v>
      </c>
      <c r="J1419" t="s">
        <v>26</v>
      </c>
      <c r="K1419" t="s">
        <v>48</v>
      </c>
      <c r="L1419" t="b">
        <v>1</v>
      </c>
      <c r="M1419" t="s">
        <v>6920</v>
      </c>
      <c r="N1419" t="str">
        <f>"294.301/9"</f>
        <v>294.301/9</v>
      </c>
      <c r="P1419" t="b">
        <v>0</v>
      </c>
      <c r="Q1419" t="b">
        <v>0</v>
      </c>
      <c r="R1419" t="str">
        <f>"9780861716203"</f>
        <v>9780861716203</v>
      </c>
      <c r="S1419" t="str">
        <f>"9780861719389"</f>
        <v>9780861719389</v>
      </c>
      <c r="T1419">
        <v>698589659</v>
      </c>
    </row>
    <row r="1420" spans="1:20" x14ac:dyDescent="0.25">
      <c r="A1420">
        <v>592376</v>
      </c>
      <c r="B1420" t="s">
        <v>6921</v>
      </c>
      <c r="C1420" t="s">
        <v>6922</v>
      </c>
      <c r="D1420" t="s">
        <v>123</v>
      </c>
      <c r="E1420" t="s">
        <v>219</v>
      </c>
      <c r="F1420">
        <v>2009</v>
      </c>
      <c r="G1420" t="s">
        <v>4159</v>
      </c>
      <c r="H1420" t="s">
        <v>6923</v>
      </c>
      <c r="I1420" t="s">
        <v>6924</v>
      </c>
      <c r="J1420" t="s">
        <v>26</v>
      </c>
      <c r="K1420" t="s">
        <v>48</v>
      </c>
      <c r="L1420" t="b">
        <v>1</v>
      </c>
      <c r="M1420" t="s">
        <v>6925</v>
      </c>
      <c r="N1420" t="str">
        <f>"294.3"</f>
        <v>294.3</v>
      </c>
      <c r="P1420" t="b">
        <v>0</v>
      </c>
      <c r="Q1420" t="b">
        <v>0</v>
      </c>
      <c r="R1420" t="str">
        <f>"9780861715831"</f>
        <v>9780861715831</v>
      </c>
      <c r="S1420" t="str">
        <f>"9780861719709"</f>
        <v>9780861719709</v>
      </c>
      <c r="T1420">
        <v>664233384</v>
      </c>
    </row>
    <row r="1421" spans="1:20" x14ac:dyDescent="0.25">
      <c r="A1421">
        <v>592375</v>
      </c>
      <c r="B1421" t="s">
        <v>6926</v>
      </c>
      <c r="C1421" t="s">
        <v>6927</v>
      </c>
      <c r="D1421" t="s">
        <v>123</v>
      </c>
      <c r="E1421" t="s">
        <v>219</v>
      </c>
      <c r="F1421">
        <v>2010</v>
      </c>
      <c r="G1421" t="s">
        <v>1707</v>
      </c>
      <c r="H1421" t="s">
        <v>6928</v>
      </c>
      <c r="I1421" t="s">
        <v>6929</v>
      </c>
      <c r="J1421" t="s">
        <v>26</v>
      </c>
      <c r="K1421" t="s">
        <v>48</v>
      </c>
      <c r="L1421" t="b">
        <v>1</v>
      </c>
      <c r="M1421" t="s">
        <v>6930</v>
      </c>
      <c r="N1421" t="str">
        <f>"294.3/423"</f>
        <v>294.3/423</v>
      </c>
      <c r="P1421" t="b">
        <v>0</v>
      </c>
      <c r="Q1421" t="b">
        <v>0</v>
      </c>
      <c r="R1421" t="str">
        <f>"9780861715824"</f>
        <v>9780861715824</v>
      </c>
      <c r="S1421" t="str">
        <f>"9780861719372"</f>
        <v>9780861719372</v>
      </c>
      <c r="T1421">
        <v>698589812</v>
      </c>
    </row>
    <row r="1422" spans="1:20" x14ac:dyDescent="0.25">
      <c r="A1422">
        <v>592373</v>
      </c>
      <c r="B1422" t="s">
        <v>6931</v>
      </c>
      <c r="C1422" t="s">
        <v>6932</v>
      </c>
      <c r="D1422" t="s">
        <v>123</v>
      </c>
      <c r="E1422" t="s">
        <v>219</v>
      </c>
      <c r="F1422">
        <v>2010</v>
      </c>
      <c r="G1422" t="s">
        <v>4159</v>
      </c>
      <c r="H1422" t="s">
        <v>6933</v>
      </c>
      <c r="J1422" t="s">
        <v>26</v>
      </c>
      <c r="K1422" t="s">
        <v>48</v>
      </c>
      <c r="L1422" t="b">
        <v>1</v>
      </c>
      <c r="M1422" t="s">
        <v>6934</v>
      </c>
      <c r="N1422" t="str">
        <f>"294.385"</f>
        <v>294.385</v>
      </c>
      <c r="P1422" t="b">
        <v>0</v>
      </c>
      <c r="Q1422" t="b">
        <v>0</v>
      </c>
      <c r="R1422" t="str">
        <f>"9780861715749"</f>
        <v>9780861715749</v>
      </c>
      <c r="S1422" t="str">
        <f>"9780861719433"</f>
        <v>9780861719433</v>
      </c>
      <c r="T1422">
        <v>664233567</v>
      </c>
    </row>
    <row r="1423" spans="1:20" x14ac:dyDescent="0.25">
      <c r="A1423">
        <v>592370</v>
      </c>
      <c r="B1423" t="s">
        <v>6935</v>
      </c>
      <c r="C1423" t="s">
        <v>6936</v>
      </c>
      <c r="D1423" t="s">
        <v>123</v>
      </c>
      <c r="E1423" t="s">
        <v>219</v>
      </c>
      <c r="F1423">
        <v>2008</v>
      </c>
      <c r="G1423" t="s">
        <v>220</v>
      </c>
      <c r="H1423" t="s">
        <v>6937</v>
      </c>
      <c r="I1423" t="s">
        <v>6938</v>
      </c>
      <c r="J1423" t="s">
        <v>26</v>
      </c>
      <c r="K1423" t="s">
        <v>48</v>
      </c>
      <c r="L1423" t="b">
        <v>1</v>
      </c>
      <c r="M1423" t="s">
        <v>6939</v>
      </c>
      <c r="N1423" t="str">
        <f>"294.3/85"</f>
        <v>294.3/85</v>
      </c>
      <c r="P1423" t="b">
        <v>0</v>
      </c>
      <c r="Q1423" t="b">
        <v>0</v>
      </c>
      <c r="R1423" t="str">
        <f>"9780861715718"</f>
        <v>9780861715718</v>
      </c>
      <c r="S1423" t="str">
        <f>"9780861719877"</f>
        <v>9780861719877</v>
      </c>
      <c r="T1423">
        <v>701109874</v>
      </c>
    </row>
    <row r="1424" spans="1:20" x14ac:dyDescent="0.25">
      <c r="A1424">
        <v>592369</v>
      </c>
      <c r="B1424" t="s">
        <v>6940</v>
      </c>
      <c r="C1424" t="s">
        <v>6941</v>
      </c>
      <c r="D1424" t="s">
        <v>123</v>
      </c>
      <c r="E1424" t="s">
        <v>219</v>
      </c>
      <c r="F1424">
        <v>2009</v>
      </c>
      <c r="G1424" t="s">
        <v>4159</v>
      </c>
      <c r="H1424" t="s">
        <v>6942</v>
      </c>
      <c r="I1424" t="s">
        <v>6943</v>
      </c>
      <c r="J1424" t="s">
        <v>26</v>
      </c>
      <c r="K1424" t="s">
        <v>48</v>
      </c>
      <c r="L1424" t="b">
        <v>1</v>
      </c>
      <c r="M1424" t="s">
        <v>6944</v>
      </c>
      <c r="N1424" t="str">
        <f>"294.342"</f>
        <v>294.342</v>
      </c>
      <c r="P1424" t="b">
        <v>0</v>
      </c>
      <c r="Q1424" t="b">
        <v>0</v>
      </c>
      <c r="R1424" t="str">
        <f>"9780861715695"</f>
        <v>9780861715695</v>
      </c>
      <c r="S1424" t="str">
        <f>"9780861719594"</f>
        <v>9780861719594</v>
      </c>
      <c r="T1424">
        <v>664233443</v>
      </c>
    </row>
    <row r="1425" spans="1:20" x14ac:dyDescent="0.25">
      <c r="A1425">
        <v>592368</v>
      </c>
      <c r="B1425" t="s">
        <v>6945</v>
      </c>
      <c r="C1425" t="s">
        <v>6946</v>
      </c>
      <c r="D1425" t="s">
        <v>123</v>
      </c>
      <c r="E1425" t="s">
        <v>219</v>
      </c>
      <c r="F1425">
        <v>2008</v>
      </c>
      <c r="G1425" t="s">
        <v>5381</v>
      </c>
      <c r="H1425" t="s">
        <v>6947</v>
      </c>
      <c r="I1425" t="s">
        <v>6948</v>
      </c>
      <c r="J1425" t="s">
        <v>26</v>
      </c>
      <c r="K1425" t="s">
        <v>48</v>
      </c>
      <c r="L1425" t="b">
        <v>1</v>
      </c>
      <c r="M1425" t="s">
        <v>6949</v>
      </c>
      <c r="N1425" t="str">
        <f>"294.3444092"</f>
        <v>294.3444092</v>
      </c>
      <c r="P1425" t="b">
        <v>0</v>
      </c>
      <c r="Q1425" t="b">
        <v>0</v>
      </c>
      <c r="R1425" t="str">
        <f>"9780861715688"</f>
        <v>9780861715688</v>
      </c>
      <c r="S1425" t="str">
        <f>"9780861719570"</f>
        <v>9780861719570</v>
      </c>
      <c r="T1425">
        <v>664233541</v>
      </c>
    </row>
    <row r="1426" spans="1:20" x14ac:dyDescent="0.25">
      <c r="A1426">
        <v>592365</v>
      </c>
      <c r="B1426" t="s">
        <v>6950</v>
      </c>
      <c r="C1426" t="s">
        <v>6951</v>
      </c>
      <c r="D1426" t="s">
        <v>123</v>
      </c>
      <c r="E1426" t="s">
        <v>219</v>
      </c>
      <c r="F1426">
        <v>2008</v>
      </c>
      <c r="G1426" t="s">
        <v>6952</v>
      </c>
      <c r="H1426" t="s">
        <v>6953</v>
      </c>
      <c r="I1426" t="s">
        <v>2248</v>
      </c>
      <c r="J1426" t="s">
        <v>26</v>
      </c>
      <c r="K1426" t="s">
        <v>48</v>
      </c>
      <c r="L1426" t="b">
        <v>1</v>
      </c>
      <c r="M1426" t="s">
        <v>6954</v>
      </c>
      <c r="N1426" t="str">
        <f>"294.3/4435"</f>
        <v>294.3/4435</v>
      </c>
      <c r="P1426" t="b">
        <v>0</v>
      </c>
      <c r="Q1426" t="b">
        <v>0</v>
      </c>
      <c r="R1426" t="str">
        <f>"9780861715602"</f>
        <v>9780861715602</v>
      </c>
      <c r="S1426" t="str">
        <f>"9780861719815"</f>
        <v>9780861719815</v>
      </c>
      <c r="T1426">
        <v>759838429</v>
      </c>
    </row>
    <row r="1427" spans="1:20" x14ac:dyDescent="0.25">
      <c r="A1427">
        <v>592364</v>
      </c>
      <c r="B1427" t="s">
        <v>6955</v>
      </c>
      <c r="C1427" t="s">
        <v>6956</v>
      </c>
      <c r="D1427" t="s">
        <v>123</v>
      </c>
      <c r="E1427" t="s">
        <v>219</v>
      </c>
      <c r="F1427">
        <v>2008</v>
      </c>
      <c r="G1427" t="s">
        <v>4159</v>
      </c>
      <c r="H1427" t="s">
        <v>6957</v>
      </c>
      <c r="I1427" t="s">
        <v>6958</v>
      </c>
      <c r="J1427" t="s">
        <v>26</v>
      </c>
      <c r="K1427" t="s">
        <v>48</v>
      </c>
      <c r="L1427" t="b">
        <v>1</v>
      </c>
      <c r="M1427" t="s">
        <v>6959</v>
      </c>
      <c r="N1427" t="str">
        <f>"294.337"</f>
        <v>294.337</v>
      </c>
      <c r="P1427" t="b">
        <v>0</v>
      </c>
      <c r="Q1427" t="b">
        <v>0</v>
      </c>
      <c r="R1427" t="str">
        <f>"9780861715589"</f>
        <v>9780861715589</v>
      </c>
      <c r="S1427" t="str">
        <f>"9780861719655"</f>
        <v>9780861719655</v>
      </c>
      <c r="T1427">
        <v>664233509</v>
      </c>
    </row>
    <row r="1428" spans="1:20" x14ac:dyDescent="0.25">
      <c r="A1428">
        <v>592362</v>
      </c>
      <c r="B1428" t="s">
        <v>6960</v>
      </c>
      <c r="C1428" t="s">
        <v>6961</v>
      </c>
      <c r="D1428" t="s">
        <v>123</v>
      </c>
      <c r="E1428" t="s">
        <v>219</v>
      </c>
      <c r="F1428">
        <v>2009</v>
      </c>
      <c r="G1428" t="s">
        <v>862</v>
      </c>
      <c r="H1428" t="s">
        <v>6962</v>
      </c>
      <c r="I1428" t="s">
        <v>6963</v>
      </c>
      <c r="J1428" t="s">
        <v>26</v>
      </c>
      <c r="K1428" t="s">
        <v>48</v>
      </c>
      <c r="L1428" t="b">
        <v>1</v>
      </c>
      <c r="M1428" t="s">
        <v>6964</v>
      </c>
      <c r="N1428" t="str">
        <f>"294.3/42042"</f>
        <v>294.3/42042</v>
      </c>
      <c r="P1428" t="b">
        <v>0</v>
      </c>
      <c r="Q1428" t="b">
        <v>0</v>
      </c>
      <c r="R1428" t="str">
        <f>"9780861715527"</f>
        <v>9780861715527</v>
      </c>
      <c r="S1428" t="str">
        <f>"9780861719921"</f>
        <v>9780861719921</v>
      </c>
      <c r="T1428">
        <v>680283385</v>
      </c>
    </row>
    <row r="1429" spans="1:20" x14ac:dyDescent="0.25">
      <c r="A1429">
        <v>592360</v>
      </c>
      <c r="B1429" t="s">
        <v>6965</v>
      </c>
      <c r="D1429" t="s">
        <v>123</v>
      </c>
      <c r="E1429" t="s">
        <v>219</v>
      </c>
      <c r="F1429">
        <v>2007</v>
      </c>
      <c r="G1429" t="s">
        <v>6966</v>
      </c>
      <c r="H1429" t="s">
        <v>6967</v>
      </c>
      <c r="I1429" t="s">
        <v>6968</v>
      </c>
      <c r="J1429" t="s">
        <v>26</v>
      </c>
      <c r="K1429" t="s">
        <v>48</v>
      </c>
      <c r="L1429" t="b">
        <v>1</v>
      </c>
      <c r="M1429" t="s">
        <v>6969</v>
      </c>
      <c r="N1429" t="str">
        <f>"294.3/444"</f>
        <v>294.3/444</v>
      </c>
      <c r="P1429" t="b">
        <v>0</v>
      </c>
      <c r="Q1429" t="b">
        <v>0</v>
      </c>
      <c r="R1429" t="str">
        <f>"9780861715428"</f>
        <v>9780861715428</v>
      </c>
      <c r="S1429" t="str">
        <f>"9780861719464"</f>
        <v>9780861719464</v>
      </c>
      <c r="T1429">
        <v>680283436</v>
      </c>
    </row>
    <row r="1430" spans="1:20" x14ac:dyDescent="0.25">
      <c r="A1430">
        <v>592359</v>
      </c>
      <c r="B1430" t="s">
        <v>6970</v>
      </c>
      <c r="C1430" t="s">
        <v>6971</v>
      </c>
      <c r="D1430" t="s">
        <v>123</v>
      </c>
      <c r="E1430" t="s">
        <v>219</v>
      </c>
      <c r="F1430">
        <v>2007</v>
      </c>
      <c r="G1430" t="s">
        <v>6972</v>
      </c>
      <c r="H1430" t="s">
        <v>6973</v>
      </c>
      <c r="I1430" t="s">
        <v>6974</v>
      </c>
      <c r="J1430" t="s">
        <v>26</v>
      </c>
      <c r="K1430" t="s">
        <v>48</v>
      </c>
      <c r="L1430" t="b">
        <v>1</v>
      </c>
      <c r="M1430" t="s">
        <v>6975</v>
      </c>
      <c r="N1430" t="str">
        <f>"294.3/5677"</f>
        <v>294.3/5677</v>
      </c>
      <c r="P1430" t="b">
        <v>0</v>
      </c>
      <c r="Q1430" t="b">
        <v>0</v>
      </c>
      <c r="R1430" t="str">
        <f>"9780861715374"</f>
        <v>9780861715374</v>
      </c>
      <c r="S1430" t="str">
        <f>"9780861719556"</f>
        <v>9780861719556</v>
      </c>
      <c r="T1430">
        <v>680284509</v>
      </c>
    </row>
    <row r="1431" spans="1:20" x14ac:dyDescent="0.25">
      <c r="A1431">
        <v>592353</v>
      </c>
      <c r="B1431" t="s">
        <v>6976</v>
      </c>
      <c r="C1431" t="s">
        <v>6977</v>
      </c>
      <c r="D1431" t="s">
        <v>123</v>
      </c>
      <c r="E1431" t="s">
        <v>219</v>
      </c>
      <c r="F1431">
        <v>2007</v>
      </c>
      <c r="G1431" t="s">
        <v>862</v>
      </c>
      <c r="H1431" t="s">
        <v>6978</v>
      </c>
      <c r="I1431" t="s">
        <v>6979</v>
      </c>
      <c r="J1431" t="s">
        <v>26</v>
      </c>
      <c r="K1431" t="s">
        <v>48</v>
      </c>
      <c r="L1431" t="b">
        <v>1</v>
      </c>
      <c r="M1431" t="s">
        <v>6980</v>
      </c>
      <c r="N1431" t="str">
        <f>"294.3/420423"</f>
        <v>294.3/420423</v>
      </c>
      <c r="O1431" t="s">
        <v>6981</v>
      </c>
      <c r="P1431" t="b">
        <v>0</v>
      </c>
      <c r="Q1431" t="b">
        <v>0</v>
      </c>
      <c r="R1431" t="str">
        <f>"9780861715107"</f>
        <v>9780861715107</v>
      </c>
      <c r="S1431" t="str">
        <f>"9780861719051"</f>
        <v>9780861719051</v>
      </c>
      <c r="T1431">
        <v>774282440</v>
      </c>
    </row>
    <row r="1432" spans="1:20" x14ac:dyDescent="0.25">
      <c r="A1432">
        <v>592352</v>
      </c>
      <c r="B1432" t="s">
        <v>6982</v>
      </c>
      <c r="C1432" t="s">
        <v>6983</v>
      </c>
      <c r="D1432" t="s">
        <v>123</v>
      </c>
      <c r="E1432" t="s">
        <v>219</v>
      </c>
      <c r="F1432">
        <v>2006</v>
      </c>
      <c r="G1432" t="s">
        <v>862</v>
      </c>
      <c r="H1432" t="s">
        <v>6984</v>
      </c>
      <c r="I1432" t="s">
        <v>6985</v>
      </c>
      <c r="J1432" t="s">
        <v>26</v>
      </c>
      <c r="K1432" t="s">
        <v>48</v>
      </c>
      <c r="L1432" t="b">
        <v>1</v>
      </c>
      <c r="M1432" t="s">
        <v>6986</v>
      </c>
      <c r="N1432" t="str">
        <f>"294.3923"</f>
        <v>294.3923</v>
      </c>
      <c r="P1432" t="b">
        <v>0</v>
      </c>
      <c r="Q1432" t="b">
        <v>0</v>
      </c>
      <c r="R1432" t="str">
        <f>"9780861715008"</f>
        <v>9780861715008</v>
      </c>
      <c r="S1432" t="str">
        <f>"9780861719457"</f>
        <v>9780861719457</v>
      </c>
      <c r="T1432">
        <v>664233371</v>
      </c>
    </row>
    <row r="1433" spans="1:20" x14ac:dyDescent="0.25">
      <c r="A1433">
        <v>592349</v>
      </c>
      <c r="B1433" t="s">
        <v>6987</v>
      </c>
      <c r="C1433" t="s">
        <v>6988</v>
      </c>
      <c r="D1433" t="s">
        <v>123</v>
      </c>
      <c r="E1433" t="s">
        <v>219</v>
      </c>
      <c r="F1433">
        <v>2009</v>
      </c>
      <c r="G1433" t="s">
        <v>2937</v>
      </c>
      <c r="H1433" t="s">
        <v>6989</v>
      </c>
      <c r="I1433" t="s">
        <v>6990</v>
      </c>
      <c r="J1433" t="s">
        <v>26</v>
      </c>
      <c r="K1433" t="s">
        <v>48</v>
      </c>
      <c r="L1433" t="b">
        <v>1</v>
      </c>
      <c r="M1433" t="s">
        <v>6991</v>
      </c>
      <c r="N1433" t="str">
        <f>"294.3/927082;294.3927082"</f>
        <v>294.3/927082;294.3927082</v>
      </c>
      <c r="P1433" t="b">
        <v>0</v>
      </c>
      <c r="Q1433" t="b">
        <v>0</v>
      </c>
      <c r="R1433" t="str">
        <f>"9780861714759"</f>
        <v>9780861714759</v>
      </c>
      <c r="S1433" t="str">
        <f>"9780861719563"</f>
        <v>9780861719563</v>
      </c>
      <c r="T1433">
        <v>798535208</v>
      </c>
    </row>
    <row r="1434" spans="1:20" x14ac:dyDescent="0.25">
      <c r="A1434">
        <v>592330</v>
      </c>
      <c r="B1434" t="s">
        <v>6992</v>
      </c>
      <c r="C1434" t="s">
        <v>6993</v>
      </c>
      <c r="D1434" t="s">
        <v>123</v>
      </c>
      <c r="E1434" t="s">
        <v>219</v>
      </c>
      <c r="F1434">
        <v>2006</v>
      </c>
      <c r="G1434" t="s">
        <v>862</v>
      </c>
      <c r="H1434" t="s">
        <v>6994</v>
      </c>
      <c r="I1434" t="s">
        <v>6995</v>
      </c>
      <c r="J1434" t="s">
        <v>26</v>
      </c>
      <c r="K1434" t="s">
        <v>48</v>
      </c>
      <c r="L1434" t="b">
        <v>1</v>
      </c>
      <c r="M1434" t="s">
        <v>6996</v>
      </c>
      <c r="N1434" t="str">
        <f>"294.3/4435"</f>
        <v>294.3/4435</v>
      </c>
      <c r="P1434" t="b">
        <v>0</v>
      </c>
      <c r="Q1434" t="b">
        <v>0</v>
      </c>
      <c r="R1434" t="str">
        <f>"9780861713042"</f>
        <v>9780861713042</v>
      </c>
      <c r="S1434" t="str">
        <f>"9780861719631"</f>
        <v>9780861719631</v>
      </c>
      <c r="T1434">
        <v>732604560</v>
      </c>
    </row>
    <row r="1435" spans="1:20" x14ac:dyDescent="0.25">
      <c r="A1435">
        <v>592328</v>
      </c>
      <c r="B1435" t="s">
        <v>6997</v>
      </c>
      <c r="C1435" t="s">
        <v>6998</v>
      </c>
      <c r="D1435" t="s">
        <v>123</v>
      </c>
      <c r="E1435" t="s">
        <v>219</v>
      </c>
      <c r="F1435">
        <v>2006</v>
      </c>
      <c r="G1435" t="s">
        <v>862</v>
      </c>
      <c r="H1435" t="s">
        <v>6999</v>
      </c>
      <c r="I1435" t="s">
        <v>7000</v>
      </c>
      <c r="J1435" t="s">
        <v>26</v>
      </c>
      <c r="K1435" t="s">
        <v>48</v>
      </c>
      <c r="L1435" t="b">
        <v>1</v>
      </c>
      <c r="M1435" t="s">
        <v>7001</v>
      </c>
      <c r="N1435" t="str">
        <f>"294.3/4435"</f>
        <v>294.3/4435</v>
      </c>
      <c r="P1435" t="b">
        <v>0</v>
      </c>
      <c r="Q1435" t="b">
        <v>0</v>
      </c>
      <c r="R1435" t="str">
        <f>"9780861712991"</f>
        <v>9780861712991</v>
      </c>
      <c r="S1435" t="str">
        <f>"9780861719501"</f>
        <v>9780861719501</v>
      </c>
      <c r="T1435">
        <v>680282988</v>
      </c>
    </row>
    <row r="1436" spans="1:20" x14ac:dyDescent="0.25">
      <c r="A1436">
        <v>592317</v>
      </c>
      <c r="B1436" t="s">
        <v>7002</v>
      </c>
      <c r="C1436" t="s">
        <v>7003</v>
      </c>
      <c r="D1436" t="s">
        <v>123</v>
      </c>
      <c r="E1436" t="s">
        <v>219</v>
      </c>
      <c r="F1436">
        <v>2008</v>
      </c>
      <c r="G1436" t="s">
        <v>862</v>
      </c>
      <c r="H1436" t="s">
        <v>7004</v>
      </c>
      <c r="I1436" t="s">
        <v>7005</v>
      </c>
      <c r="J1436" t="s">
        <v>26</v>
      </c>
      <c r="K1436" t="s">
        <v>48</v>
      </c>
      <c r="L1436" t="b">
        <v>1</v>
      </c>
      <c r="M1436" t="s">
        <v>7006</v>
      </c>
      <c r="N1436" t="str">
        <f>"294.3923"</f>
        <v>294.3923</v>
      </c>
      <c r="O1436" t="s">
        <v>7007</v>
      </c>
      <c r="P1436" t="b">
        <v>0</v>
      </c>
      <c r="Q1436" t="b">
        <v>0</v>
      </c>
      <c r="R1436" t="str">
        <f>"9780861712717"</f>
        <v>9780861712717</v>
      </c>
      <c r="S1436" t="str">
        <f>"9780861719471"</f>
        <v>9780861719471</v>
      </c>
      <c r="T1436">
        <v>664233378</v>
      </c>
    </row>
    <row r="1437" spans="1:20" x14ac:dyDescent="0.25">
      <c r="A1437">
        <v>591046</v>
      </c>
      <c r="B1437" t="s">
        <v>7008</v>
      </c>
      <c r="C1437" t="s">
        <v>7009</v>
      </c>
      <c r="D1437" t="s">
        <v>131</v>
      </c>
      <c r="E1437" t="s">
        <v>7010</v>
      </c>
      <c r="F1437">
        <v>2012</v>
      </c>
      <c r="G1437" t="s">
        <v>6377</v>
      </c>
      <c r="H1437" t="s">
        <v>7011</v>
      </c>
      <c r="I1437" t="s">
        <v>7012</v>
      </c>
      <c r="J1437" t="s">
        <v>26</v>
      </c>
      <c r="K1437" t="s">
        <v>86</v>
      </c>
      <c r="L1437" t="b">
        <v>1</v>
      </c>
      <c r="M1437" t="s">
        <v>7013</v>
      </c>
      <c r="N1437" t="str">
        <f>"640"</f>
        <v>640</v>
      </c>
      <c r="O1437" t="s">
        <v>7014</v>
      </c>
      <c r="P1437" t="b">
        <v>0</v>
      </c>
      <c r="R1437" t="str">
        <f>"9781934170342"</f>
        <v>9781934170342</v>
      </c>
      <c r="S1437" t="str">
        <f>"9781934170359"</f>
        <v>9781934170359</v>
      </c>
      <c r="T1437">
        <v>797849242</v>
      </c>
    </row>
    <row r="1438" spans="1:20" x14ac:dyDescent="0.25">
      <c r="A1438">
        <v>591039</v>
      </c>
      <c r="B1438" t="s">
        <v>7015</v>
      </c>
      <c r="C1438" t="s">
        <v>7016</v>
      </c>
      <c r="D1438" t="s">
        <v>131</v>
      </c>
      <c r="E1438" t="s">
        <v>7010</v>
      </c>
      <c r="F1438">
        <v>2012</v>
      </c>
      <c r="G1438" t="s">
        <v>1561</v>
      </c>
      <c r="H1438" t="s">
        <v>7017</v>
      </c>
      <c r="I1438" t="s">
        <v>7018</v>
      </c>
      <c r="J1438" t="s">
        <v>26</v>
      </c>
      <c r="K1438" t="s">
        <v>86</v>
      </c>
      <c r="L1438" t="b">
        <v>1</v>
      </c>
      <c r="M1438" t="s">
        <v>7019</v>
      </c>
      <c r="N1438" t="str">
        <f>"910.20208912999999"</f>
        <v>910.20208912999999</v>
      </c>
      <c r="O1438" t="s">
        <v>7014</v>
      </c>
      <c r="P1438" t="b">
        <v>0</v>
      </c>
      <c r="Q1438" t="b">
        <v>0</v>
      </c>
      <c r="R1438" t="str">
        <f>"9781934170298"</f>
        <v>9781934170298</v>
      </c>
      <c r="S1438" t="str">
        <f>"9781934170304"</f>
        <v>9781934170304</v>
      </c>
      <c r="T1438">
        <v>896845585</v>
      </c>
    </row>
    <row r="1439" spans="1:20" x14ac:dyDescent="0.25">
      <c r="A1439">
        <v>590931</v>
      </c>
      <c r="B1439" t="s">
        <v>7020</v>
      </c>
      <c r="C1439" t="s">
        <v>7021</v>
      </c>
      <c r="D1439" t="s">
        <v>1151</v>
      </c>
      <c r="E1439" t="s">
        <v>7022</v>
      </c>
      <c r="F1439">
        <v>2004</v>
      </c>
      <c r="G1439" t="s">
        <v>7023</v>
      </c>
      <c r="H1439" t="s">
        <v>7024</v>
      </c>
      <c r="I1439" t="s">
        <v>7025</v>
      </c>
      <c r="J1439" t="s">
        <v>26</v>
      </c>
      <c r="K1439" t="s">
        <v>27</v>
      </c>
      <c r="L1439" t="b">
        <v>1</v>
      </c>
      <c r="M1439" t="s">
        <v>7026</v>
      </c>
      <c r="N1439" t="str">
        <f>"796.332"</f>
        <v>796.332</v>
      </c>
      <c r="P1439" t="b">
        <v>0</v>
      </c>
      <c r="R1439" t="str">
        <f>"9780306809903"</f>
        <v>9780306809903</v>
      </c>
      <c r="S1439" t="str">
        <f>"9780306815973"</f>
        <v>9780306815973</v>
      </c>
      <c r="T1439">
        <v>782879178</v>
      </c>
    </row>
    <row r="1440" spans="1:20" x14ac:dyDescent="0.25">
      <c r="A1440">
        <v>589613</v>
      </c>
      <c r="B1440" t="s">
        <v>7027</v>
      </c>
      <c r="C1440" t="s">
        <v>7028</v>
      </c>
      <c r="D1440" t="s">
        <v>131</v>
      </c>
      <c r="E1440" t="s">
        <v>1737</v>
      </c>
      <c r="F1440">
        <v>2009</v>
      </c>
      <c r="G1440" t="s">
        <v>4849</v>
      </c>
      <c r="H1440" t="s">
        <v>7029</v>
      </c>
      <c r="I1440" t="s">
        <v>7030</v>
      </c>
      <c r="J1440" t="s">
        <v>26</v>
      </c>
      <c r="K1440" t="s">
        <v>86</v>
      </c>
      <c r="L1440" t="b">
        <v>1</v>
      </c>
      <c r="M1440" t="s">
        <v>7031</v>
      </c>
      <c r="N1440" t="str">
        <f>"305.235"</f>
        <v>305.235</v>
      </c>
      <c r="P1440" t="b">
        <v>0</v>
      </c>
      <c r="R1440" t="str">
        <f>"9781553654377"</f>
        <v>9781553654377</v>
      </c>
      <c r="S1440" t="str">
        <f>"9781926685410"</f>
        <v>9781926685410</v>
      </c>
      <c r="T1440">
        <v>717175996</v>
      </c>
    </row>
    <row r="1441" spans="1:20" x14ac:dyDescent="0.25">
      <c r="A1441">
        <v>589605</v>
      </c>
      <c r="B1441" t="s">
        <v>7032</v>
      </c>
      <c r="C1441" t="s">
        <v>7033</v>
      </c>
      <c r="D1441" t="s">
        <v>131</v>
      </c>
      <c r="E1441" t="s">
        <v>1737</v>
      </c>
      <c r="F1441">
        <v>2004</v>
      </c>
      <c r="G1441" t="s">
        <v>7034</v>
      </c>
      <c r="H1441" t="s">
        <v>7035</v>
      </c>
      <c r="I1441" t="s">
        <v>7036</v>
      </c>
      <c r="J1441" t="s">
        <v>26</v>
      </c>
      <c r="K1441" t="s">
        <v>86</v>
      </c>
      <c r="L1441" t="b">
        <v>1</v>
      </c>
      <c r="M1441" t="s">
        <v>7037</v>
      </c>
      <c r="N1441" t="str">
        <f>"582.16"</f>
        <v>582.16</v>
      </c>
      <c r="P1441" t="b">
        <v>0</v>
      </c>
      <c r="R1441" t="str">
        <f>"9781553651260"</f>
        <v>9781553651260</v>
      </c>
      <c r="S1441" t="str">
        <f>"9781926685533"</f>
        <v>9781926685533</v>
      </c>
      <c r="T1441">
        <v>647823595</v>
      </c>
    </row>
    <row r="1442" spans="1:20" x14ac:dyDescent="0.25">
      <c r="A1442">
        <v>589598</v>
      </c>
      <c r="B1442" t="s">
        <v>7038</v>
      </c>
      <c r="C1442" t="s">
        <v>7039</v>
      </c>
      <c r="D1442" t="s">
        <v>131</v>
      </c>
      <c r="E1442" t="s">
        <v>1737</v>
      </c>
      <c r="F1442">
        <v>2012</v>
      </c>
      <c r="G1442" t="s">
        <v>283</v>
      </c>
      <c r="H1442" t="s">
        <v>7040</v>
      </c>
      <c r="I1442" t="s">
        <v>7041</v>
      </c>
      <c r="J1442" t="s">
        <v>26</v>
      </c>
      <c r="K1442" t="s">
        <v>86</v>
      </c>
      <c r="L1442" t="b">
        <v>1</v>
      </c>
      <c r="M1442" t="s">
        <v>7042</v>
      </c>
      <c r="N1442" t="str">
        <f>"070.92"</f>
        <v>070.92</v>
      </c>
      <c r="P1442" t="b">
        <v>0</v>
      </c>
      <c r="R1442" t="str">
        <f>"9781553658337"</f>
        <v>9781553658337</v>
      </c>
      <c r="S1442" t="str">
        <f>"9781553658344"</f>
        <v>9781553658344</v>
      </c>
      <c r="T1442">
        <v>726828807</v>
      </c>
    </row>
    <row r="1443" spans="1:20" x14ac:dyDescent="0.25">
      <c r="A1443">
        <v>589146</v>
      </c>
      <c r="B1443" t="s">
        <v>7043</v>
      </c>
      <c r="D1443" t="s">
        <v>131</v>
      </c>
      <c r="E1443" t="s">
        <v>4781</v>
      </c>
      <c r="F1443">
        <v>2011</v>
      </c>
      <c r="G1443" t="s">
        <v>7044</v>
      </c>
      <c r="H1443" t="s">
        <v>7045</v>
      </c>
      <c r="I1443" t="s">
        <v>7046</v>
      </c>
      <c r="J1443" t="s">
        <v>26</v>
      </c>
      <c r="K1443" t="s">
        <v>86</v>
      </c>
      <c r="L1443" t="b">
        <v>1</v>
      </c>
      <c r="M1443" t="s">
        <v>7047</v>
      </c>
      <c r="N1443" t="str">
        <f>"792.802/8092;B"</f>
        <v>792.802/8092;B</v>
      </c>
      <c r="P1443" t="b">
        <v>0</v>
      </c>
      <c r="R1443" t="str">
        <f>"9780983294412"</f>
        <v>9780983294412</v>
      </c>
      <c r="S1443" t="str">
        <f>"9780983934615"</f>
        <v>9780983934615</v>
      </c>
      <c r="T1443">
        <v>797840501</v>
      </c>
    </row>
    <row r="1444" spans="1:20" x14ac:dyDescent="0.25">
      <c r="A1444">
        <v>587883</v>
      </c>
      <c r="B1444" t="s">
        <v>7048</v>
      </c>
      <c r="D1444" t="s">
        <v>203</v>
      </c>
      <c r="E1444" t="s">
        <v>1109</v>
      </c>
      <c r="F1444">
        <v>2013</v>
      </c>
      <c r="G1444" t="s">
        <v>1110</v>
      </c>
      <c r="H1444" t="s">
        <v>7049</v>
      </c>
      <c r="I1444" t="s">
        <v>7050</v>
      </c>
      <c r="J1444" t="s">
        <v>26</v>
      </c>
      <c r="K1444" t="s">
        <v>86</v>
      </c>
      <c r="L1444" t="b">
        <v>1</v>
      </c>
      <c r="M1444" t="s">
        <v>7051</v>
      </c>
      <c r="N1444" t="str">
        <f>"616.89122"</f>
        <v>616.89122</v>
      </c>
      <c r="P1444" t="b">
        <v>0</v>
      </c>
      <c r="R1444" t="str">
        <f>"9781908020581"</f>
        <v>9781908020581</v>
      </c>
      <c r="S1444" t="str">
        <f>"9781908020598"</f>
        <v>9781908020598</v>
      </c>
      <c r="T1444">
        <v>849653731</v>
      </c>
    </row>
    <row r="1445" spans="1:20" x14ac:dyDescent="0.25">
      <c r="A1445">
        <v>587169</v>
      </c>
      <c r="B1445" t="s">
        <v>7052</v>
      </c>
      <c r="C1445" t="s">
        <v>5712</v>
      </c>
      <c r="D1445" t="s">
        <v>131</v>
      </c>
      <c r="E1445" t="s">
        <v>1144</v>
      </c>
      <c r="F1445">
        <v>2013</v>
      </c>
      <c r="G1445" t="s">
        <v>546</v>
      </c>
      <c r="H1445" t="s">
        <v>7053</v>
      </c>
      <c r="I1445" t="s">
        <v>7054</v>
      </c>
      <c r="J1445" t="s">
        <v>26</v>
      </c>
      <c r="K1445" t="s">
        <v>86</v>
      </c>
      <c r="L1445" t="b">
        <v>1</v>
      </c>
      <c r="M1445" t="s">
        <v>7055</v>
      </c>
      <c r="N1445" t="str">
        <f>"381/.45002092"</f>
        <v>381/.45002092</v>
      </c>
      <c r="P1445" t="b">
        <v>0</v>
      </c>
      <c r="R1445" t="str">
        <f>"9781927428177"</f>
        <v>9781927428177</v>
      </c>
      <c r="S1445" t="str">
        <f>"9781927428160"</f>
        <v>9781927428160</v>
      </c>
      <c r="T1445">
        <v>819134303</v>
      </c>
    </row>
    <row r="1446" spans="1:20" x14ac:dyDescent="0.25">
      <c r="A1446">
        <v>587166</v>
      </c>
      <c r="B1446" t="s">
        <v>7056</v>
      </c>
      <c r="C1446" t="s">
        <v>7057</v>
      </c>
      <c r="D1446" t="s">
        <v>131</v>
      </c>
      <c r="E1446" t="s">
        <v>1144</v>
      </c>
      <c r="F1446">
        <v>2011</v>
      </c>
      <c r="G1446" t="s">
        <v>546</v>
      </c>
      <c r="H1446" t="s">
        <v>7058</v>
      </c>
      <c r="I1446" t="s">
        <v>5875</v>
      </c>
      <c r="J1446" t="s">
        <v>26</v>
      </c>
      <c r="K1446" t="s">
        <v>86</v>
      </c>
      <c r="L1446" t="b">
        <v>1</v>
      </c>
      <c r="M1446" t="s">
        <v>7059</v>
      </c>
      <c r="N1446" t="str">
        <f>"813/.54"</f>
        <v>813/.54</v>
      </c>
      <c r="P1446" t="b">
        <v>0</v>
      </c>
      <c r="R1446" t="str">
        <f>"9781926845319"</f>
        <v>9781926845319</v>
      </c>
      <c r="S1446" t="str">
        <f>"9781926845548"</f>
        <v>9781926845548</v>
      </c>
      <c r="T1446">
        <v>757261012</v>
      </c>
    </row>
    <row r="1447" spans="1:20" x14ac:dyDescent="0.25">
      <c r="A1447">
        <v>587152</v>
      </c>
      <c r="B1447" t="s">
        <v>7060</v>
      </c>
      <c r="C1447" t="s">
        <v>7061</v>
      </c>
      <c r="D1447" t="s">
        <v>131</v>
      </c>
      <c r="E1447" t="s">
        <v>1144</v>
      </c>
      <c r="F1447">
        <v>2008</v>
      </c>
      <c r="G1447" t="s">
        <v>1200</v>
      </c>
      <c r="H1447" t="s">
        <v>7062</v>
      </c>
      <c r="I1447" t="s">
        <v>7063</v>
      </c>
      <c r="J1447" t="s">
        <v>26</v>
      </c>
      <c r="K1447" t="s">
        <v>86</v>
      </c>
      <c r="L1447" t="b">
        <v>1</v>
      </c>
      <c r="M1447" t="s">
        <v>7059</v>
      </c>
      <c r="N1447" t="str">
        <f>"813/.54"</f>
        <v>813/.54</v>
      </c>
      <c r="P1447" t="b">
        <v>1</v>
      </c>
      <c r="R1447" t="str">
        <f>"9781897231456"</f>
        <v>9781897231456</v>
      </c>
      <c r="S1447" t="str">
        <f>"9781926845364"</f>
        <v>9781926845364</v>
      </c>
      <c r="T1447">
        <v>763158960</v>
      </c>
    </row>
    <row r="1448" spans="1:20" x14ac:dyDescent="0.25">
      <c r="A1448">
        <v>587150</v>
      </c>
      <c r="B1448" t="s">
        <v>7064</v>
      </c>
      <c r="D1448" t="s">
        <v>131</v>
      </c>
      <c r="E1448" t="s">
        <v>1144</v>
      </c>
      <c r="F1448">
        <v>2008</v>
      </c>
      <c r="G1448" t="s">
        <v>7065</v>
      </c>
      <c r="H1448" t="s">
        <v>7066</v>
      </c>
      <c r="I1448" t="s">
        <v>7067</v>
      </c>
      <c r="J1448" t="s">
        <v>26</v>
      </c>
      <c r="K1448" t="s">
        <v>86</v>
      </c>
      <c r="L1448" t="b">
        <v>1</v>
      </c>
      <c r="M1448" t="s">
        <v>7068</v>
      </c>
      <c r="N1448" t="str">
        <f>"C814/.54"</f>
        <v>C814/.54</v>
      </c>
      <c r="P1448" t="b">
        <v>0</v>
      </c>
      <c r="R1448" t="str">
        <f>"9781897231425"</f>
        <v>9781897231425</v>
      </c>
      <c r="S1448" t="str">
        <f>"9781897231654"</f>
        <v>9781897231654</v>
      </c>
      <c r="T1448">
        <v>288099129</v>
      </c>
    </row>
    <row r="1449" spans="1:20" x14ac:dyDescent="0.25">
      <c r="A1449">
        <v>586942</v>
      </c>
      <c r="B1449" t="s">
        <v>7069</v>
      </c>
      <c r="C1449" t="s">
        <v>7070</v>
      </c>
      <c r="D1449" t="s">
        <v>233</v>
      </c>
      <c r="E1449" t="s">
        <v>7071</v>
      </c>
      <c r="F1449">
        <v>2009</v>
      </c>
      <c r="G1449" t="s">
        <v>4713</v>
      </c>
      <c r="H1449" t="s">
        <v>7072</v>
      </c>
      <c r="I1449" t="s">
        <v>7073</v>
      </c>
      <c r="J1449" t="s">
        <v>26</v>
      </c>
      <c r="K1449" t="s">
        <v>27</v>
      </c>
      <c r="L1449" t="b">
        <v>1</v>
      </c>
      <c r="M1449" t="s">
        <v>7074</v>
      </c>
      <c r="N1449" t="str">
        <f>"778.3/5"</f>
        <v>778.3/5</v>
      </c>
      <c r="P1449" t="b">
        <v>0</v>
      </c>
      <c r="R1449" t="str">
        <f>"9781582434292"</f>
        <v>9781582434292</v>
      </c>
      <c r="S1449" t="str">
        <f>"9781582439877"</f>
        <v>9781582439877</v>
      </c>
      <c r="T1449">
        <v>646810128</v>
      </c>
    </row>
    <row r="1450" spans="1:20" x14ac:dyDescent="0.25">
      <c r="A1450">
        <v>586941</v>
      </c>
      <c r="B1450" t="s">
        <v>7075</v>
      </c>
      <c r="D1450" t="s">
        <v>233</v>
      </c>
      <c r="E1450" t="s">
        <v>7071</v>
      </c>
      <c r="F1450">
        <v>2009</v>
      </c>
      <c r="G1450" t="s">
        <v>7076</v>
      </c>
      <c r="H1450" t="s">
        <v>7077</v>
      </c>
      <c r="I1450" t="s">
        <v>7078</v>
      </c>
      <c r="J1450" t="s">
        <v>26</v>
      </c>
      <c r="K1450" t="s">
        <v>27</v>
      </c>
      <c r="L1450" t="b">
        <v>1</v>
      </c>
      <c r="M1450" t="s">
        <v>7079</v>
      </c>
      <c r="N1450" t="str">
        <f>"294.3/927092"</f>
        <v>294.3/927092</v>
      </c>
      <c r="P1450" t="b">
        <v>0</v>
      </c>
      <c r="R1450" t="str">
        <f>"9781582434544"</f>
        <v>9781582434544</v>
      </c>
      <c r="S1450" t="str">
        <f>"9781582439860"</f>
        <v>9781582439860</v>
      </c>
      <c r="T1450">
        <v>646810072</v>
      </c>
    </row>
    <row r="1451" spans="1:20" x14ac:dyDescent="0.25">
      <c r="A1451">
        <v>586934</v>
      </c>
      <c r="B1451" t="s">
        <v>7080</v>
      </c>
      <c r="C1451" t="s">
        <v>7081</v>
      </c>
      <c r="D1451" t="s">
        <v>233</v>
      </c>
      <c r="E1451" t="s">
        <v>7071</v>
      </c>
      <c r="F1451">
        <v>2008</v>
      </c>
      <c r="G1451" t="s">
        <v>7076</v>
      </c>
      <c r="H1451" t="s">
        <v>7082</v>
      </c>
      <c r="I1451" t="s">
        <v>7083</v>
      </c>
      <c r="J1451" t="s">
        <v>26</v>
      </c>
      <c r="K1451" t="s">
        <v>27</v>
      </c>
      <c r="L1451" t="b">
        <v>1</v>
      </c>
      <c r="M1451" t="s">
        <v>7084</v>
      </c>
      <c r="N1451" t="str">
        <f>"895.6/132"</f>
        <v>895.6/132</v>
      </c>
      <c r="P1451" t="b">
        <v>0</v>
      </c>
      <c r="R1451" t="str">
        <f>"9781582434131"</f>
        <v>9781582434131</v>
      </c>
      <c r="S1451" t="str">
        <f>"9781582439761"</f>
        <v>9781582439761</v>
      </c>
      <c r="T1451">
        <v>471133716</v>
      </c>
    </row>
    <row r="1452" spans="1:20" x14ac:dyDescent="0.25">
      <c r="A1452">
        <v>586922</v>
      </c>
      <c r="B1452" t="s">
        <v>7085</v>
      </c>
      <c r="C1452" t="s">
        <v>5712</v>
      </c>
      <c r="D1452" t="s">
        <v>233</v>
      </c>
      <c r="E1452" t="s">
        <v>7071</v>
      </c>
      <c r="F1452">
        <v>2008</v>
      </c>
      <c r="G1452" t="s">
        <v>546</v>
      </c>
      <c r="H1452" t="s">
        <v>7086</v>
      </c>
      <c r="I1452" t="s">
        <v>5875</v>
      </c>
      <c r="J1452" t="s">
        <v>26</v>
      </c>
      <c r="K1452" t="s">
        <v>27</v>
      </c>
      <c r="L1452" t="b">
        <v>1</v>
      </c>
      <c r="M1452" t="s">
        <v>7087</v>
      </c>
      <c r="N1452" t="str">
        <f>"813.54"</f>
        <v>813.54</v>
      </c>
      <c r="P1452" t="b">
        <v>0</v>
      </c>
      <c r="R1452" t="str">
        <f>"9781582433738"</f>
        <v>9781582433738</v>
      </c>
      <c r="S1452" t="str">
        <f>"9781582439617"</f>
        <v>9781582439617</v>
      </c>
      <c r="T1452">
        <v>609854490</v>
      </c>
    </row>
    <row r="1453" spans="1:20" x14ac:dyDescent="0.25">
      <c r="A1453">
        <v>586909</v>
      </c>
      <c r="B1453" t="s">
        <v>7088</v>
      </c>
      <c r="C1453" t="s">
        <v>7089</v>
      </c>
      <c r="D1453" t="s">
        <v>233</v>
      </c>
      <c r="E1453" t="s">
        <v>7071</v>
      </c>
      <c r="F1453">
        <v>2009</v>
      </c>
      <c r="G1453" t="s">
        <v>2077</v>
      </c>
      <c r="H1453" t="s">
        <v>7090</v>
      </c>
      <c r="I1453" t="s">
        <v>7091</v>
      </c>
      <c r="J1453" t="s">
        <v>26</v>
      </c>
      <c r="K1453" t="s">
        <v>27</v>
      </c>
      <c r="L1453" t="b">
        <v>1</v>
      </c>
      <c r="M1453" t="s">
        <v>7092</v>
      </c>
      <c r="N1453" t="str">
        <f>"363.3253"</f>
        <v>363.3253</v>
      </c>
      <c r="P1453" t="b">
        <v>0</v>
      </c>
      <c r="R1453" t="str">
        <f>"9781582435091"</f>
        <v>9781582435091</v>
      </c>
      <c r="S1453" t="str">
        <f>"9781582439440"</f>
        <v>9781582439440</v>
      </c>
      <c r="T1453">
        <v>609853823</v>
      </c>
    </row>
    <row r="1454" spans="1:20" x14ac:dyDescent="0.25">
      <c r="A1454">
        <v>586892</v>
      </c>
      <c r="B1454" t="s">
        <v>7093</v>
      </c>
      <c r="C1454" t="s">
        <v>2201</v>
      </c>
      <c r="D1454" t="s">
        <v>233</v>
      </c>
      <c r="E1454" t="s">
        <v>7071</v>
      </c>
      <c r="F1454">
        <v>2008</v>
      </c>
      <c r="G1454" t="s">
        <v>283</v>
      </c>
      <c r="H1454" t="s">
        <v>7094</v>
      </c>
      <c r="I1454" t="s">
        <v>7095</v>
      </c>
      <c r="J1454" t="s">
        <v>26</v>
      </c>
      <c r="K1454" t="s">
        <v>27</v>
      </c>
      <c r="L1454" t="b">
        <v>1</v>
      </c>
      <c r="M1454" t="s">
        <v>7096</v>
      </c>
      <c r="N1454" t="str">
        <f>"813.54"</f>
        <v>813.54</v>
      </c>
      <c r="P1454" t="b">
        <v>0</v>
      </c>
      <c r="R1454" t="str">
        <f>"9781582434025"</f>
        <v>9781582434025</v>
      </c>
      <c r="S1454" t="str">
        <f>"9781582439198"</f>
        <v>9781582439198</v>
      </c>
      <c r="T1454">
        <v>609854195</v>
      </c>
    </row>
    <row r="1455" spans="1:20" x14ac:dyDescent="0.25">
      <c r="A1455">
        <v>586724</v>
      </c>
      <c r="B1455" t="s">
        <v>7097</v>
      </c>
      <c r="D1455" t="s">
        <v>233</v>
      </c>
      <c r="E1455" t="s">
        <v>7071</v>
      </c>
      <c r="F1455">
        <v>2010</v>
      </c>
      <c r="G1455" t="s">
        <v>289</v>
      </c>
      <c r="H1455" t="s">
        <v>7098</v>
      </c>
      <c r="I1455" t="s">
        <v>4425</v>
      </c>
      <c r="J1455" t="s">
        <v>26</v>
      </c>
      <c r="K1455" t="s">
        <v>27</v>
      </c>
      <c r="L1455" t="b">
        <v>1</v>
      </c>
      <c r="M1455" t="s">
        <v>7099</v>
      </c>
      <c r="N1455" t="str">
        <f>"814/.54"</f>
        <v>814/.54</v>
      </c>
      <c r="P1455" t="b">
        <v>0</v>
      </c>
      <c r="R1455" t="str">
        <f>"9781582435626"</f>
        <v>9781582435626</v>
      </c>
      <c r="S1455" t="str">
        <f>"9781582436845"</f>
        <v>9781582436845</v>
      </c>
      <c r="T1455">
        <v>742016724</v>
      </c>
    </row>
    <row r="1456" spans="1:20" x14ac:dyDescent="0.25">
      <c r="A1456">
        <v>586702</v>
      </c>
      <c r="B1456" t="s">
        <v>7100</v>
      </c>
      <c r="C1456" t="s">
        <v>5974</v>
      </c>
      <c r="D1456" t="s">
        <v>233</v>
      </c>
      <c r="E1456" t="s">
        <v>7071</v>
      </c>
      <c r="F1456">
        <v>2010</v>
      </c>
      <c r="G1456" t="s">
        <v>4249</v>
      </c>
      <c r="H1456" t="s">
        <v>7101</v>
      </c>
      <c r="I1456" t="s">
        <v>7102</v>
      </c>
      <c r="J1456" t="s">
        <v>26</v>
      </c>
      <c r="K1456" t="s">
        <v>27</v>
      </c>
      <c r="L1456" t="b">
        <v>1</v>
      </c>
      <c r="M1456" t="s">
        <v>7099</v>
      </c>
      <c r="N1456" t="str">
        <f>"811/.6"</f>
        <v>811/.6</v>
      </c>
      <c r="P1456" t="b">
        <v>0</v>
      </c>
      <c r="R1456" t="str">
        <f>"9781582435343"</f>
        <v>9781582435343</v>
      </c>
      <c r="S1456" t="str">
        <f>"9781582436593"</f>
        <v>9781582436593</v>
      </c>
      <c r="T1456">
        <v>635291332</v>
      </c>
    </row>
    <row r="1457" spans="1:20" x14ac:dyDescent="0.25">
      <c r="A1457">
        <v>586697</v>
      </c>
      <c r="B1457" t="s">
        <v>7103</v>
      </c>
      <c r="C1457" t="s">
        <v>7104</v>
      </c>
      <c r="D1457" t="s">
        <v>233</v>
      </c>
      <c r="E1457" t="s">
        <v>7071</v>
      </c>
      <c r="F1457">
        <v>2008</v>
      </c>
      <c r="G1457" t="s">
        <v>7065</v>
      </c>
      <c r="H1457" t="s">
        <v>7105</v>
      </c>
      <c r="I1457" t="s">
        <v>7106</v>
      </c>
      <c r="J1457" t="s">
        <v>26</v>
      </c>
      <c r="K1457" t="s">
        <v>27</v>
      </c>
      <c r="L1457" t="b">
        <v>1</v>
      </c>
      <c r="M1457" t="s">
        <v>7107</v>
      </c>
      <c r="N1457" t="str">
        <f>"824.92"</f>
        <v>824.92</v>
      </c>
      <c r="P1457" t="b">
        <v>0</v>
      </c>
      <c r="R1457" t="str">
        <f>"9781593761882"</f>
        <v>9781593761882</v>
      </c>
      <c r="S1457" t="str">
        <f>"9781582436531"</f>
        <v>9781582436531</v>
      </c>
      <c r="T1457">
        <v>609853826</v>
      </c>
    </row>
    <row r="1458" spans="1:20" x14ac:dyDescent="0.25">
      <c r="A1458">
        <v>586688</v>
      </c>
      <c r="B1458" t="s">
        <v>7108</v>
      </c>
      <c r="C1458" t="s">
        <v>7109</v>
      </c>
      <c r="D1458" t="s">
        <v>233</v>
      </c>
      <c r="E1458" t="s">
        <v>7071</v>
      </c>
      <c r="F1458">
        <v>2008</v>
      </c>
      <c r="G1458" t="s">
        <v>7065</v>
      </c>
      <c r="H1458" t="s">
        <v>7110</v>
      </c>
      <c r="I1458" t="s">
        <v>7111</v>
      </c>
      <c r="J1458" t="s">
        <v>26</v>
      </c>
      <c r="K1458" t="s">
        <v>27</v>
      </c>
      <c r="L1458" t="b">
        <v>1</v>
      </c>
      <c r="M1458" t="s">
        <v>7112</v>
      </c>
      <c r="N1458" t="str">
        <f>"028.9"</f>
        <v>028.9</v>
      </c>
      <c r="P1458" t="b">
        <v>0</v>
      </c>
      <c r="R1458" t="str">
        <f>"9781593761875"</f>
        <v>9781593761875</v>
      </c>
      <c r="S1458" t="str">
        <f>"9781582439044"</f>
        <v>9781582439044</v>
      </c>
      <c r="T1458">
        <v>609853948</v>
      </c>
    </row>
    <row r="1459" spans="1:20" x14ac:dyDescent="0.25">
      <c r="A1459">
        <v>585402</v>
      </c>
      <c r="B1459" t="s">
        <v>7113</v>
      </c>
      <c r="C1459" t="s">
        <v>7114</v>
      </c>
      <c r="D1459" t="s">
        <v>98</v>
      </c>
      <c r="E1459" t="s">
        <v>99</v>
      </c>
      <c r="F1459">
        <v>2013</v>
      </c>
      <c r="G1459" t="s">
        <v>7115</v>
      </c>
      <c r="H1459" t="s">
        <v>7116</v>
      </c>
      <c r="I1459" t="s">
        <v>7117</v>
      </c>
      <c r="J1459" t="s">
        <v>26</v>
      </c>
      <c r="K1459" t="s">
        <v>27</v>
      </c>
      <c r="L1459" t="b">
        <v>1</v>
      </c>
      <c r="M1459" t="s">
        <v>7118</v>
      </c>
      <c r="N1459" t="str">
        <f>"610.9/2"</f>
        <v>610.9/2</v>
      </c>
      <c r="P1459" t="b">
        <v>0</v>
      </c>
      <c r="R1459" t="str">
        <f>"9780199767670"</f>
        <v>9780199767670</v>
      </c>
      <c r="S1459" t="str">
        <f>"9780199986149"</f>
        <v>9780199986149</v>
      </c>
      <c r="T1459">
        <v>847140351</v>
      </c>
    </row>
    <row r="1460" spans="1:20" x14ac:dyDescent="0.25">
      <c r="A1460">
        <v>584821</v>
      </c>
      <c r="B1460" t="s">
        <v>7119</v>
      </c>
      <c r="D1460" t="s">
        <v>233</v>
      </c>
      <c r="E1460" t="s">
        <v>7120</v>
      </c>
      <c r="F1460">
        <v>2005</v>
      </c>
      <c r="G1460" t="s">
        <v>7121</v>
      </c>
      <c r="H1460" t="s">
        <v>7122</v>
      </c>
      <c r="I1460" t="s">
        <v>7123</v>
      </c>
      <c r="J1460" t="s">
        <v>26</v>
      </c>
      <c r="K1460" t="s">
        <v>86</v>
      </c>
      <c r="L1460" t="b">
        <v>1</v>
      </c>
      <c r="M1460" t="s">
        <v>7124</v>
      </c>
      <c r="N1460" t="str">
        <f>"895.6:44"</f>
        <v>895.6:44</v>
      </c>
      <c r="O1460" t="s">
        <v>7125</v>
      </c>
      <c r="P1460" t="b">
        <v>1</v>
      </c>
      <c r="R1460" t="str">
        <f>"9780231118613"</f>
        <v>9780231118613</v>
      </c>
      <c r="S1460" t="str">
        <f>"9780231521642"</f>
        <v>9780231521642</v>
      </c>
      <c r="T1460">
        <v>797972843</v>
      </c>
    </row>
    <row r="1461" spans="1:20" x14ac:dyDescent="0.25">
      <c r="A1461">
        <v>579035</v>
      </c>
      <c r="B1461" t="s">
        <v>7126</v>
      </c>
      <c r="C1461" t="s">
        <v>7127</v>
      </c>
      <c r="D1461" t="s">
        <v>82</v>
      </c>
      <c r="E1461" t="s">
        <v>82</v>
      </c>
      <c r="F1461">
        <v>2012</v>
      </c>
      <c r="G1461" t="s">
        <v>6806</v>
      </c>
      <c r="H1461" t="s">
        <v>7128</v>
      </c>
      <c r="I1461" t="s">
        <v>7129</v>
      </c>
      <c r="J1461" t="s">
        <v>26</v>
      </c>
      <c r="K1461" t="s">
        <v>27</v>
      </c>
      <c r="L1461" t="b">
        <v>1</v>
      </c>
      <c r="M1461" t="s">
        <v>7130</v>
      </c>
      <c r="N1461" t="str">
        <f>"333.7309596"</f>
        <v>333.7309596</v>
      </c>
      <c r="P1461" t="b">
        <v>0</v>
      </c>
      <c r="R1461" t="str">
        <f>"9780776607726"</f>
        <v>9780776607726</v>
      </c>
      <c r="S1461" t="str">
        <f>"9780776619866"</f>
        <v>9780776619866</v>
      </c>
      <c r="T1461">
        <v>775869063</v>
      </c>
    </row>
    <row r="1462" spans="1:20" x14ac:dyDescent="0.25">
      <c r="A1462">
        <v>578869</v>
      </c>
      <c r="B1462" t="s">
        <v>7131</v>
      </c>
      <c r="C1462" t="s">
        <v>7132</v>
      </c>
      <c r="D1462" t="s">
        <v>131</v>
      </c>
      <c r="E1462" t="s">
        <v>2389</v>
      </c>
      <c r="F1462">
        <v>2013</v>
      </c>
      <c r="G1462" t="s">
        <v>856</v>
      </c>
      <c r="H1462" t="s">
        <v>7133</v>
      </c>
      <c r="I1462" t="s">
        <v>7134</v>
      </c>
      <c r="J1462" t="s">
        <v>26</v>
      </c>
      <c r="K1462" t="s">
        <v>86</v>
      </c>
      <c r="L1462" t="b">
        <v>1</v>
      </c>
      <c r="M1462" t="s">
        <v>7135</v>
      </c>
      <c r="N1462" t="str">
        <f>"320.1/5"</f>
        <v>320.1/5</v>
      </c>
      <c r="P1462" t="b">
        <v>0</v>
      </c>
      <c r="R1462" t="str">
        <f>"9780823251353"</f>
        <v>9780823251353</v>
      </c>
      <c r="S1462" t="str">
        <f>"9780823252220"</f>
        <v>9780823252220</v>
      </c>
      <c r="T1462">
        <v>844436847</v>
      </c>
    </row>
    <row r="1463" spans="1:20" x14ac:dyDescent="0.25">
      <c r="A1463">
        <v>578868</v>
      </c>
      <c r="B1463" t="s">
        <v>7136</v>
      </c>
      <c r="C1463" t="s">
        <v>7137</v>
      </c>
      <c r="D1463" t="s">
        <v>131</v>
      </c>
      <c r="E1463" t="s">
        <v>2389</v>
      </c>
      <c r="F1463">
        <v>2013</v>
      </c>
      <c r="G1463" t="s">
        <v>7138</v>
      </c>
      <c r="H1463" t="s">
        <v>7139</v>
      </c>
      <c r="I1463" t="s">
        <v>7140</v>
      </c>
      <c r="J1463" t="s">
        <v>26</v>
      </c>
      <c r="K1463" t="s">
        <v>86</v>
      </c>
      <c r="L1463" t="b">
        <v>1</v>
      </c>
      <c r="M1463" t="s">
        <v>7141</v>
      </c>
      <c r="N1463" t="str">
        <f>"191"</f>
        <v>191</v>
      </c>
      <c r="O1463" t="s">
        <v>7142</v>
      </c>
      <c r="P1463" t="b">
        <v>0</v>
      </c>
      <c r="R1463" t="str">
        <f>"9780823251209"</f>
        <v>9780823251209</v>
      </c>
      <c r="S1463" t="str">
        <f>"9780823252305"</f>
        <v>9780823252305</v>
      </c>
      <c r="T1463">
        <v>844436785</v>
      </c>
    </row>
    <row r="1464" spans="1:20" x14ac:dyDescent="0.25">
      <c r="A1464">
        <v>578867</v>
      </c>
      <c r="B1464" t="s">
        <v>7143</v>
      </c>
      <c r="C1464" t="s">
        <v>7144</v>
      </c>
      <c r="D1464" t="s">
        <v>131</v>
      </c>
      <c r="E1464" t="s">
        <v>2389</v>
      </c>
      <c r="F1464">
        <v>2013</v>
      </c>
      <c r="G1464" t="s">
        <v>2232</v>
      </c>
      <c r="H1464" t="s">
        <v>7145</v>
      </c>
      <c r="I1464" t="s">
        <v>7146</v>
      </c>
      <c r="J1464" t="s">
        <v>26</v>
      </c>
      <c r="K1464" t="s">
        <v>86</v>
      </c>
      <c r="L1464" t="b">
        <v>1</v>
      </c>
      <c r="M1464" t="s">
        <v>7147</v>
      </c>
      <c r="N1464" t="str">
        <f>"200.82"</f>
        <v>200.82</v>
      </c>
      <c r="O1464" t="s">
        <v>7148</v>
      </c>
      <c r="P1464" t="b">
        <v>0</v>
      </c>
      <c r="R1464" t="str">
        <f>"9780823251179"</f>
        <v>9780823251179</v>
      </c>
      <c r="S1464" t="str">
        <f>"9780823252206"</f>
        <v>9780823252206</v>
      </c>
      <c r="T1464">
        <v>844362711</v>
      </c>
    </row>
    <row r="1465" spans="1:20" x14ac:dyDescent="0.25">
      <c r="A1465">
        <v>578866</v>
      </c>
      <c r="B1465" t="s">
        <v>7149</v>
      </c>
      <c r="C1465" t="s">
        <v>7150</v>
      </c>
      <c r="D1465" t="s">
        <v>131</v>
      </c>
      <c r="E1465" t="s">
        <v>2389</v>
      </c>
      <c r="F1465">
        <v>2013</v>
      </c>
      <c r="G1465" t="s">
        <v>23</v>
      </c>
      <c r="H1465" t="s">
        <v>7151</v>
      </c>
      <c r="I1465" t="s">
        <v>7152</v>
      </c>
      <c r="J1465" t="s">
        <v>26</v>
      </c>
      <c r="K1465" t="s">
        <v>86</v>
      </c>
      <c r="L1465" t="b">
        <v>1</v>
      </c>
      <c r="M1465" t="s">
        <v>7153</v>
      </c>
      <c r="N1465" t="str">
        <f>"174.2"</f>
        <v>174.2</v>
      </c>
      <c r="P1465" t="b">
        <v>0</v>
      </c>
      <c r="R1465" t="str">
        <f>"9780823251087"</f>
        <v>9780823251087</v>
      </c>
      <c r="S1465" t="str">
        <f>"9780823252268"</f>
        <v>9780823252268</v>
      </c>
      <c r="T1465">
        <v>843882953</v>
      </c>
    </row>
    <row r="1466" spans="1:20" x14ac:dyDescent="0.25">
      <c r="A1466">
        <v>578865</v>
      </c>
      <c r="B1466" t="s">
        <v>7154</v>
      </c>
      <c r="D1466" t="s">
        <v>131</v>
      </c>
      <c r="E1466" t="s">
        <v>2389</v>
      </c>
      <c r="F1466">
        <v>2013</v>
      </c>
      <c r="G1466" t="s">
        <v>6296</v>
      </c>
      <c r="H1466" t="s">
        <v>7155</v>
      </c>
      <c r="I1466" t="s">
        <v>7156</v>
      </c>
      <c r="J1466" t="s">
        <v>26</v>
      </c>
      <c r="K1466" t="s">
        <v>86</v>
      </c>
      <c r="L1466" t="b">
        <v>1</v>
      </c>
      <c r="M1466" t="s">
        <v>7157</v>
      </c>
      <c r="N1466" t="str">
        <f>"741.01/17"</f>
        <v>741.01/17</v>
      </c>
      <c r="P1466" t="b">
        <v>0</v>
      </c>
      <c r="R1466" t="str">
        <f>"9780823250936"</f>
        <v>9780823250936</v>
      </c>
      <c r="S1466" t="str">
        <f>"9780823252329"</f>
        <v>9780823252329</v>
      </c>
      <c r="T1466">
        <v>844940046</v>
      </c>
    </row>
    <row r="1467" spans="1:20" x14ac:dyDescent="0.25">
      <c r="A1467">
        <v>578608</v>
      </c>
      <c r="B1467" t="s">
        <v>7158</v>
      </c>
      <c r="C1467" t="s">
        <v>7159</v>
      </c>
      <c r="D1467" t="s">
        <v>131</v>
      </c>
      <c r="E1467" t="s">
        <v>2389</v>
      </c>
      <c r="F1467">
        <v>2013</v>
      </c>
      <c r="G1467" t="s">
        <v>2460</v>
      </c>
      <c r="H1467" t="s">
        <v>7160</v>
      </c>
      <c r="I1467" t="s">
        <v>7161</v>
      </c>
      <c r="J1467" t="s">
        <v>26</v>
      </c>
      <c r="K1467" t="s">
        <v>86</v>
      </c>
      <c r="L1467" t="b">
        <v>1</v>
      </c>
      <c r="M1467" t="s">
        <v>7162</v>
      </c>
      <c r="N1467" t="str">
        <f>"210"</f>
        <v>210</v>
      </c>
      <c r="O1467" t="s">
        <v>2426</v>
      </c>
      <c r="P1467" t="b">
        <v>0</v>
      </c>
      <c r="R1467" t="str">
        <f>"9780823251506"</f>
        <v>9780823251506</v>
      </c>
      <c r="S1467" t="str">
        <f>"9780823252244"</f>
        <v>9780823252244</v>
      </c>
      <c r="T1467">
        <v>844704443</v>
      </c>
    </row>
    <row r="1468" spans="1:20" x14ac:dyDescent="0.25">
      <c r="A1468">
        <v>578607</v>
      </c>
      <c r="B1468" t="s">
        <v>7163</v>
      </c>
      <c r="C1468" t="s">
        <v>7164</v>
      </c>
      <c r="D1468" t="s">
        <v>131</v>
      </c>
      <c r="E1468" t="s">
        <v>2389</v>
      </c>
      <c r="F1468">
        <v>2013</v>
      </c>
      <c r="G1468" t="s">
        <v>1681</v>
      </c>
      <c r="H1468" t="s">
        <v>7165</v>
      </c>
      <c r="I1468" t="s">
        <v>7166</v>
      </c>
      <c r="J1468" t="s">
        <v>26</v>
      </c>
      <c r="K1468" t="s">
        <v>86</v>
      </c>
      <c r="L1468" t="b">
        <v>1</v>
      </c>
      <c r="M1468" t="s">
        <v>7167</v>
      </c>
      <c r="N1468" t="str">
        <f>"261.8/80882819"</f>
        <v>261.8/80882819</v>
      </c>
      <c r="O1468" t="s">
        <v>7168</v>
      </c>
      <c r="P1468" t="b">
        <v>0</v>
      </c>
      <c r="R1468" t="str">
        <f>"9780823251445"</f>
        <v>9780823251445</v>
      </c>
      <c r="S1468" t="str">
        <f>"9780823252343"</f>
        <v>9780823252343</v>
      </c>
      <c r="T1468">
        <v>844238441</v>
      </c>
    </row>
    <row r="1469" spans="1:20" x14ac:dyDescent="0.25">
      <c r="A1469">
        <v>577352</v>
      </c>
      <c r="B1469" t="s">
        <v>7169</v>
      </c>
      <c r="C1469" t="s">
        <v>7170</v>
      </c>
      <c r="D1469" t="s">
        <v>131</v>
      </c>
      <c r="E1469" t="s">
        <v>2389</v>
      </c>
      <c r="F1469">
        <v>2013</v>
      </c>
      <c r="G1469" t="s">
        <v>1417</v>
      </c>
      <c r="H1469" t="s">
        <v>7171</v>
      </c>
      <c r="I1469" t="s">
        <v>7172</v>
      </c>
      <c r="J1469" t="s">
        <v>26</v>
      </c>
      <c r="K1469" t="s">
        <v>86</v>
      </c>
      <c r="L1469" t="b">
        <v>1</v>
      </c>
      <c r="M1469" t="s">
        <v>7173</v>
      </c>
      <c r="N1469" t="str">
        <f>"791.430941"</f>
        <v>791.430941</v>
      </c>
      <c r="P1469" t="b">
        <v>0</v>
      </c>
      <c r="R1469" t="str">
        <f>"9780823251650"</f>
        <v>9780823251650</v>
      </c>
      <c r="S1469" t="str">
        <f>"9780823252121"</f>
        <v>9780823252121</v>
      </c>
      <c r="T1469">
        <v>843882736</v>
      </c>
    </row>
    <row r="1470" spans="1:20" x14ac:dyDescent="0.25">
      <c r="A1470">
        <v>576863</v>
      </c>
      <c r="B1470" t="s">
        <v>7174</v>
      </c>
      <c r="D1470" t="s">
        <v>131</v>
      </c>
      <c r="E1470" t="s">
        <v>276</v>
      </c>
      <c r="F1470">
        <v>1988</v>
      </c>
      <c r="G1470" t="s">
        <v>7175</v>
      </c>
      <c r="H1470" t="s">
        <v>7176</v>
      </c>
      <c r="I1470" t="s">
        <v>7177</v>
      </c>
      <c r="J1470" t="s">
        <v>26</v>
      </c>
      <c r="K1470" t="s">
        <v>86</v>
      </c>
      <c r="L1470" t="b">
        <v>1</v>
      </c>
      <c r="M1470" t="s">
        <v>7178</v>
      </c>
      <c r="N1470" t="str">
        <f>"720/.973"</f>
        <v>720/.973</v>
      </c>
      <c r="P1470" t="b">
        <v>0</v>
      </c>
      <c r="R1470" t="str">
        <f>"9781595341518"</f>
        <v>9781595341518</v>
      </c>
      <c r="S1470" t="str">
        <f>"9781595341808"</f>
        <v>9781595341808</v>
      </c>
      <c r="T1470">
        <v>855022473</v>
      </c>
    </row>
    <row r="1471" spans="1:20" x14ac:dyDescent="0.25">
      <c r="A1471">
        <v>576862</v>
      </c>
      <c r="B1471" t="s">
        <v>4130</v>
      </c>
      <c r="C1471" t="s">
        <v>7179</v>
      </c>
      <c r="D1471" t="s">
        <v>131</v>
      </c>
      <c r="E1471" t="s">
        <v>276</v>
      </c>
      <c r="F1471">
        <v>2013</v>
      </c>
      <c r="G1471" t="s">
        <v>289</v>
      </c>
      <c r="H1471" t="s">
        <v>7180</v>
      </c>
      <c r="I1471" t="s">
        <v>7181</v>
      </c>
      <c r="J1471" t="s">
        <v>26</v>
      </c>
      <c r="K1471" t="s">
        <v>86</v>
      </c>
      <c r="L1471" t="b">
        <v>1</v>
      </c>
      <c r="M1471" t="s">
        <v>7182</v>
      </c>
      <c r="N1471" t="str">
        <f>"304.20979;577.0979"</f>
        <v>304.20979;577.0979</v>
      </c>
      <c r="P1471" t="b">
        <v>0</v>
      </c>
      <c r="R1471" t="str">
        <f>"9781595341471"</f>
        <v>9781595341471</v>
      </c>
      <c r="S1471" t="str">
        <f>"9781595341488"</f>
        <v>9781595341488</v>
      </c>
      <c r="T1471">
        <v>843638673</v>
      </c>
    </row>
    <row r="1472" spans="1:20" x14ac:dyDescent="0.25">
      <c r="A1472">
        <v>575455</v>
      </c>
      <c r="B1472" t="s">
        <v>7183</v>
      </c>
      <c r="C1472" t="s">
        <v>7184</v>
      </c>
      <c r="D1472" t="s">
        <v>2347</v>
      </c>
      <c r="E1472" t="s">
        <v>2348</v>
      </c>
      <c r="F1472">
        <v>2013</v>
      </c>
      <c r="G1472" t="s">
        <v>5233</v>
      </c>
      <c r="H1472" t="s">
        <v>7185</v>
      </c>
      <c r="I1472" t="s">
        <v>7186</v>
      </c>
      <c r="J1472" t="s">
        <v>26</v>
      </c>
      <c r="K1472" t="s">
        <v>27</v>
      </c>
      <c r="L1472" t="b">
        <v>1</v>
      </c>
      <c r="M1472" t="s">
        <v>7187</v>
      </c>
      <c r="N1472" t="str">
        <f>"328.73/092"</f>
        <v>328.73/092</v>
      </c>
      <c r="P1472" t="b">
        <v>0</v>
      </c>
      <c r="R1472" t="str">
        <f>"9781555538071"</f>
        <v>9781555538071</v>
      </c>
      <c r="S1472" t="str">
        <f>"9781555538088"</f>
        <v>9781555538088</v>
      </c>
      <c r="T1472">
        <v>842909510</v>
      </c>
    </row>
    <row r="1473" spans="1:20" x14ac:dyDescent="0.25">
      <c r="A1473">
        <v>575448</v>
      </c>
      <c r="B1473" t="s">
        <v>7188</v>
      </c>
      <c r="D1473" t="s">
        <v>240</v>
      </c>
      <c r="E1473" t="s">
        <v>1625</v>
      </c>
      <c r="F1473">
        <v>2004</v>
      </c>
      <c r="G1473" t="s">
        <v>2203</v>
      </c>
      <c r="H1473" t="s">
        <v>7189</v>
      </c>
      <c r="I1473" t="s">
        <v>7190</v>
      </c>
      <c r="J1473" t="s">
        <v>26</v>
      </c>
      <c r="K1473" t="s">
        <v>27</v>
      </c>
      <c r="L1473" t="b">
        <v>1</v>
      </c>
      <c r="M1473" t="s">
        <v>7191</v>
      </c>
      <c r="N1473" t="str">
        <f>"892.4/36"</f>
        <v>892.4/36</v>
      </c>
      <c r="O1473" t="s">
        <v>7192</v>
      </c>
      <c r="P1473" t="b">
        <v>1</v>
      </c>
      <c r="R1473" t="str">
        <f>"9781584653714"</f>
        <v>9781584653714</v>
      </c>
      <c r="S1473" t="str">
        <f>"9781611684834"</f>
        <v>9781611684834</v>
      </c>
      <c r="T1473">
        <v>842929742</v>
      </c>
    </row>
    <row r="1474" spans="1:20" x14ac:dyDescent="0.25">
      <c r="A1474">
        <v>570824</v>
      </c>
      <c r="B1474" t="s">
        <v>217</v>
      </c>
      <c r="C1474" t="s">
        <v>7193</v>
      </c>
      <c r="D1474" t="s">
        <v>123</v>
      </c>
      <c r="E1474" t="s">
        <v>219</v>
      </c>
      <c r="F1474">
        <v>2008</v>
      </c>
      <c r="G1474" t="s">
        <v>220</v>
      </c>
      <c r="H1474" t="s">
        <v>7194</v>
      </c>
      <c r="I1474" t="s">
        <v>7195</v>
      </c>
      <c r="J1474" t="s">
        <v>26</v>
      </c>
      <c r="K1474" t="s">
        <v>48</v>
      </c>
      <c r="L1474" t="b">
        <v>1</v>
      </c>
      <c r="M1474" t="s">
        <v>223</v>
      </c>
      <c r="N1474" t="str">
        <f>"294.3/823"</f>
        <v>294.3/823</v>
      </c>
      <c r="O1474" t="s">
        <v>7196</v>
      </c>
      <c r="P1474" t="b">
        <v>1</v>
      </c>
      <c r="Q1474" t="b">
        <v>0</v>
      </c>
      <c r="R1474" t="str">
        <f>"9780861712953"</f>
        <v>9780861712953</v>
      </c>
      <c r="S1474" t="str">
        <f>"9780861718313"</f>
        <v>9780861718313</v>
      </c>
      <c r="T1474">
        <v>848918315</v>
      </c>
    </row>
    <row r="1475" spans="1:20" x14ac:dyDescent="0.25">
      <c r="A1475">
        <v>570822</v>
      </c>
      <c r="B1475" t="s">
        <v>7197</v>
      </c>
      <c r="C1475" t="s">
        <v>7198</v>
      </c>
      <c r="D1475" t="s">
        <v>123</v>
      </c>
      <c r="E1475" t="s">
        <v>219</v>
      </c>
      <c r="F1475">
        <v>2001</v>
      </c>
      <c r="G1475" t="s">
        <v>4159</v>
      </c>
      <c r="H1475" t="s">
        <v>7199</v>
      </c>
      <c r="I1475" t="s">
        <v>7200</v>
      </c>
      <c r="J1475" t="s">
        <v>26</v>
      </c>
      <c r="K1475" t="s">
        <v>48</v>
      </c>
      <c r="L1475" t="b">
        <v>1</v>
      </c>
      <c r="M1475" t="s">
        <v>7201</v>
      </c>
      <c r="N1475" t="str">
        <f>"126"</f>
        <v>126</v>
      </c>
      <c r="O1475" t="s">
        <v>7202</v>
      </c>
      <c r="P1475" t="b">
        <v>0</v>
      </c>
      <c r="Q1475" t="b">
        <v>0</v>
      </c>
      <c r="R1475" t="str">
        <f>"9780861712397"</f>
        <v>9780861712397</v>
      </c>
      <c r="S1475" t="str">
        <f>"9780861717545"</f>
        <v>9780861717545</v>
      </c>
      <c r="T1475">
        <v>848920095</v>
      </c>
    </row>
    <row r="1476" spans="1:20" x14ac:dyDescent="0.25">
      <c r="A1476">
        <v>570797</v>
      </c>
      <c r="B1476" t="s">
        <v>7203</v>
      </c>
      <c r="D1476" t="s">
        <v>2238</v>
      </c>
      <c r="E1476" t="s">
        <v>2239</v>
      </c>
      <c r="F1476">
        <v>2002</v>
      </c>
      <c r="G1476" t="s">
        <v>2145</v>
      </c>
      <c r="H1476" t="s">
        <v>7204</v>
      </c>
      <c r="I1476" t="s">
        <v>7205</v>
      </c>
      <c r="J1476" t="s">
        <v>26</v>
      </c>
      <c r="K1476" t="s">
        <v>86</v>
      </c>
      <c r="L1476" t="b">
        <v>1</v>
      </c>
      <c r="M1476" t="s">
        <v>7206</v>
      </c>
      <c r="N1476" t="str">
        <f>"364.3"</f>
        <v>364.3</v>
      </c>
      <c r="O1476" t="s">
        <v>7207</v>
      </c>
      <c r="P1476" t="b">
        <v>0</v>
      </c>
      <c r="R1476" t="str">
        <f>"9780415252997"</f>
        <v>9780415252997</v>
      </c>
      <c r="S1476" t="str">
        <f>"9781135643003"</f>
        <v>9781135643003</v>
      </c>
      <c r="T1476">
        <v>841170938</v>
      </c>
    </row>
    <row r="1477" spans="1:20" x14ac:dyDescent="0.25">
      <c r="A1477">
        <v>569134</v>
      </c>
      <c r="B1477" t="s">
        <v>7208</v>
      </c>
      <c r="D1477" t="s">
        <v>5060</v>
      </c>
      <c r="E1477" t="s">
        <v>5060</v>
      </c>
      <c r="F1477">
        <v>2013</v>
      </c>
      <c r="G1477" t="s">
        <v>2281</v>
      </c>
      <c r="H1477" t="s">
        <v>7209</v>
      </c>
      <c r="I1477" t="s">
        <v>7210</v>
      </c>
      <c r="J1477" t="s">
        <v>26</v>
      </c>
      <c r="K1477" t="s">
        <v>27</v>
      </c>
      <c r="L1477" t="b">
        <v>1</v>
      </c>
      <c r="M1477" t="s">
        <v>7211</v>
      </c>
      <c r="N1477" t="str">
        <f>"179.70994"</f>
        <v>179.70994</v>
      </c>
      <c r="O1477" t="s">
        <v>7212</v>
      </c>
      <c r="P1477" t="b">
        <v>0</v>
      </c>
      <c r="R1477" t="str">
        <f>"9781922084163"</f>
        <v>9781922084163</v>
      </c>
      <c r="S1477" t="str">
        <f>"9781922084170"</f>
        <v>9781922084170</v>
      </c>
      <c r="T1477">
        <v>841264439</v>
      </c>
    </row>
    <row r="1478" spans="1:20" x14ac:dyDescent="0.25">
      <c r="A1478">
        <v>569124</v>
      </c>
      <c r="B1478" t="s">
        <v>7213</v>
      </c>
      <c r="D1478" t="s">
        <v>2020</v>
      </c>
      <c r="E1478" t="s">
        <v>7214</v>
      </c>
      <c r="F1478">
        <v>2013</v>
      </c>
      <c r="G1478" t="s">
        <v>2689</v>
      </c>
      <c r="H1478" t="s">
        <v>7215</v>
      </c>
      <c r="I1478" t="s">
        <v>7216</v>
      </c>
      <c r="J1478" t="s">
        <v>26</v>
      </c>
      <c r="K1478" t="s">
        <v>27</v>
      </c>
      <c r="L1478" t="b">
        <v>1</v>
      </c>
      <c r="M1478" t="s">
        <v>7217</v>
      </c>
      <c r="N1478" t="str">
        <f>"616.042"</f>
        <v>616.042</v>
      </c>
      <c r="P1478" t="b">
        <v>0</v>
      </c>
      <c r="R1478" t="str">
        <f>"9781620700198"</f>
        <v>9781620700198</v>
      </c>
      <c r="S1478" t="str">
        <f>"9781617051821"</f>
        <v>9781617051821</v>
      </c>
      <c r="T1478">
        <v>870511264</v>
      </c>
    </row>
    <row r="1479" spans="1:20" x14ac:dyDescent="0.25">
      <c r="A1479">
        <v>567176</v>
      </c>
      <c r="B1479" t="s">
        <v>7218</v>
      </c>
      <c r="D1479" t="s">
        <v>1999</v>
      </c>
      <c r="E1479" t="s">
        <v>1999</v>
      </c>
      <c r="F1479">
        <v>2012</v>
      </c>
      <c r="G1479" t="s">
        <v>155</v>
      </c>
      <c r="H1479" t="s">
        <v>7219</v>
      </c>
      <c r="I1479" t="s">
        <v>7220</v>
      </c>
      <c r="J1479" t="s">
        <v>26</v>
      </c>
      <c r="K1479" t="s">
        <v>27</v>
      </c>
      <c r="L1479" t="b">
        <v>1</v>
      </c>
      <c r="M1479" t="s">
        <v>7221</v>
      </c>
      <c r="N1479" t="str">
        <f>"615.9/0083"</f>
        <v>615.9/0083</v>
      </c>
      <c r="P1479" t="b">
        <v>0</v>
      </c>
      <c r="R1479" t="str">
        <f>"9781581103137"</f>
        <v>9781581103137</v>
      </c>
      <c r="S1479" t="str">
        <f>"9781581106534"</f>
        <v>9781581106534</v>
      </c>
      <c r="T1479">
        <v>870994514</v>
      </c>
    </row>
    <row r="1480" spans="1:20" x14ac:dyDescent="0.25">
      <c r="A1480">
        <v>567171</v>
      </c>
      <c r="B1480" t="s">
        <v>7222</v>
      </c>
      <c r="C1480" t="s">
        <v>7223</v>
      </c>
      <c r="D1480" t="s">
        <v>1999</v>
      </c>
      <c r="E1480" t="s">
        <v>1999</v>
      </c>
      <c r="F1480">
        <v>2009</v>
      </c>
      <c r="G1480" t="s">
        <v>155</v>
      </c>
      <c r="H1480" t="s">
        <v>7224</v>
      </c>
      <c r="I1480" t="s">
        <v>7225</v>
      </c>
      <c r="J1480" t="s">
        <v>26</v>
      </c>
      <c r="K1480" t="s">
        <v>27</v>
      </c>
      <c r="L1480" t="b">
        <v>1</v>
      </c>
      <c r="M1480" t="s">
        <v>7226</v>
      </c>
      <c r="N1480" t="str">
        <f>"616.85836075"</f>
        <v>616.85836075</v>
      </c>
      <c r="P1480" t="b">
        <v>0</v>
      </c>
      <c r="R1480" t="str">
        <f>"9781581103205"</f>
        <v>9781581103205</v>
      </c>
      <c r="S1480" t="str">
        <f>"9781581105155"</f>
        <v>9781581105155</v>
      </c>
      <c r="T1480">
        <v>730049341</v>
      </c>
    </row>
    <row r="1481" spans="1:20" x14ac:dyDescent="0.25">
      <c r="A1481">
        <v>567152</v>
      </c>
      <c r="B1481" t="s">
        <v>7227</v>
      </c>
      <c r="C1481" t="s">
        <v>7228</v>
      </c>
      <c r="D1481" t="s">
        <v>1999</v>
      </c>
      <c r="E1481" t="s">
        <v>1999</v>
      </c>
      <c r="F1481">
        <v>2011</v>
      </c>
      <c r="G1481" t="s">
        <v>7229</v>
      </c>
      <c r="H1481" t="s">
        <v>7230</v>
      </c>
      <c r="I1481" t="s">
        <v>7231</v>
      </c>
      <c r="J1481" t="s">
        <v>26</v>
      </c>
      <c r="K1481" t="s">
        <v>27</v>
      </c>
      <c r="L1481" t="b">
        <v>1</v>
      </c>
      <c r="M1481" t="s">
        <v>7232</v>
      </c>
      <c r="N1481" t="str">
        <f>"362.71/20973"</f>
        <v>362.71/20973</v>
      </c>
      <c r="P1481" t="b">
        <v>0</v>
      </c>
      <c r="R1481" t="str">
        <f>"9781581104837"</f>
        <v>9781581104837</v>
      </c>
      <c r="S1481" t="str">
        <f>"9781581106428"</f>
        <v>9781581106428</v>
      </c>
      <c r="T1481">
        <v>820124123</v>
      </c>
    </row>
    <row r="1482" spans="1:20" x14ac:dyDescent="0.25">
      <c r="A1482">
        <v>563425</v>
      </c>
      <c r="B1482" t="s">
        <v>7233</v>
      </c>
      <c r="C1482" t="s">
        <v>7234</v>
      </c>
      <c r="D1482" t="s">
        <v>131</v>
      </c>
      <c r="E1482" t="s">
        <v>276</v>
      </c>
      <c r="F1482">
        <v>2013</v>
      </c>
      <c r="G1482" t="s">
        <v>7235</v>
      </c>
      <c r="H1482" t="s">
        <v>7236</v>
      </c>
      <c r="I1482" t="s">
        <v>7237</v>
      </c>
      <c r="J1482" t="s">
        <v>26</v>
      </c>
      <c r="K1482" t="s">
        <v>86</v>
      </c>
      <c r="L1482" t="b">
        <v>1</v>
      </c>
      <c r="M1482" t="s">
        <v>7238</v>
      </c>
      <c r="N1482" t="str">
        <f>"720.92"</f>
        <v>720.92</v>
      </c>
      <c r="P1482" t="b">
        <v>0</v>
      </c>
      <c r="R1482" t="str">
        <f>"9781595341747"</f>
        <v>9781595341747</v>
      </c>
      <c r="S1482" t="str">
        <f>"9781595341792"</f>
        <v>9781595341792</v>
      </c>
      <c r="T1482">
        <v>833763920</v>
      </c>
    </row>
    <row r="1483" spans="1:20" x14ac:dyDescent="0.25">
      <c r="A1483">
        <v>563423</v>
      </c>
      <c r="B1483" t="s">
        <v>7239</v>
      </c>
      <c r="D1483" t="s">
        <v>131</v>
      </c>
      <c r="E1483" t="s">
        <v>276</v>
      </c>
      <c r="F1483">
        <v>2012</v>
      </c>
      <c r="G1483" t="s">
        <v>1681</v>
      </c>
      <c r="H1483" t="s">
        <v>7240</v>
      </c>
      <c r="I1483" t="s">
        <v>7241</v>
      </c>
      <c r="J1483" t="s">
        <v>26</v>
      </c>
      <c r="K1483" t="s">
        <v>86</v>
      </c>
      <c r="L1483" t="b">
        <v>1</v>
      </c>
      <c r="M1483" t="s">
        <v>7242</v>
      </c>
      <c r="N1483" t="str">
        <f>"582.16"</f>
        <v>582.16</v>
      </c>
      <c r="P1483" t="b">
        <v>0</v>
      </c>
      <c r="R1483" t="str">
        <f>"9781595341327"</f>
        <v>9781595341327</v>
      </c>
      <c r="S1483" t="str">
        <f>"9781595341723"</f>
        <v>9781595341723</v>
      </c>
      <c r="T1483">
        <v>840817919</v>
      </c>
    </row>
    <row r="1484" spans="1:20" x14ac:dyDescent="0.25">
      <c r="A1484">
        <v>563110</v>
      </c>
      <c r="B1484" t="s">
        <v>7243</v>
      </c>
      <c r="C1484" t="s">
        <v>7244</v>
      </c>
      <c r="D1484" t="s">
        <v>123</v>
      </c>
      <c r="E1484" t="s">
        <v>1927</v>
      </c>
      <c r="F1484">
        <v>2005</v>
      </c>
      <c r="G1484" t="s">
        <v>2077</v>
      </c>
      <c r="H1484" t="s">
        <v>7245</v>
      </c>
      <c r="I1484" t="s">
        <v>7246</v>
      </c>
      <c r="J1484" t="s">
        <v>26</v>
      </c>
      <c r="K1484" t="s">
        <v>86</v>
      </c>
      <c r="L1484" t="b">
        <v>1</v>
      </c>
      <c r="M1484" t="s">
        <v>7247</v>
      </c>
      <c r="N1484" t="str">
        <f>"363.32/0973"</f>
        <v>363.32/0973</v>
      </c>
      <c r="P1484" t="b">
        <v>0</v>
      </c>
      <c r="R1484" t="str">
        <f>"9780895260055"</f>
        <v>9780895260055</v>
      </c>
      <c r="S1484" t="str">
        <f>"9781621571384"</f>
        <v>9781621571384</v>
      </c>
      <c r="T1484">
        <v>839304594</v>
      </c>
    </row>
    <row r="1485" spans="1:20" x14ac:dyDescent="0.25">
      <c r="A1485">
        <v>562503</v>
      </c>
      <c r="B1485" t="s">
        <v>7248</v>
      </c>
      <c r="C1485" t="s">
        <v>7249</v>
      </c>
      <c r="D1485" t="s">
        <v>107</v>
      </c>
      <c r="E1485" t="s">
        <v>108</v>
      </c>
      <c r="F1485">
        <v>2013</v>
      </c>
      <c r="G1485" t="s">
        <v>811</v>
      </c>
      <c r="H1485" t="s">
        <v>7250</v>
      </c>
      <c r="I1485" t="s">
        <v>7251</v>
      </c>
      <c r="J1485" t="s">
        <v>26</v>
      </c>
      <c r="K1485" t="s">
        <v>86</v>
      </c>
      <c r="L1485" t="b">
        <v>1</v>
      </c>
      <c r="M1485" t="s">
        <v>7252</v>
      </c>
      <c r="N1485" t="str">
        <f>"362.820851"</f>
        <v>362.820851</v>
      </c>
      <c r="O1485" t="s">
        <v>808</v>
      </c>
      <c r="P1485" t="b">
        <v>0</v>
      </c>
      <c r="Q1485" t="b">
        <v>0</v>
      </c>
      <c r="R1485" t="str">
        <f>"9781780460086"</f>
        <v>9781780460086</v>
      </c>
      <c r="S1485" t="str">
        <f>"9781903544846"</f>
        <v>9781903544846</v>
      </c>
      <c r="T1485">
        <v>849935754</v>
      </c>
    </row>
    <row r="1486" spans="1:20" x14ac:dyDescent="0.25">
      <c r="A1486">
        <v>562501</v>
      </c>
      <c r="B1486" t="s">
        <v>7253</v>
      </c>
      <c r="C1486" t="s">
        <v>7254</v>
      </c>
      <c r="D1486" t="s">
        <v>107</v>
      </c>
      <c r="E1486" t="s">
        <v>108</v>
      </c>
      <c r="F1486">
        <v>2013</v>
      </c>
      <c r="G1486" t="s">
        <v>7255</v>
      </c>
      <c r="H1486" t="s">
        <v>7256</v>
      </c>
      <c r="I1486" t="s">
        <v>7257</v>
      </c>
      <c r="J1486" t="s">
        <v>26</v>
      </c>
      <c r="K1486" t="s">
        <v>86</v>
      </c>
      <c r="L1486" t="b">
        <v>1</v>
      </c>
      <c r="M1486" t="s">
        <v>7258</v>
      </c>
      <c r="N1486" t="str">
        <f>"551.5"</f>
        <v>551.5</v>
      </c>
      <c r="P1486" t="b">
        <v>0</v>
      </c>
      <c r="Q1486" t="b">
        <v>0</v>
      </c>
      <c r="R1486" t="str">
        <f>"9781780460024"</f>
        <v>9781780460024</v>
      </c>
      <c r="S1486" t="str">
        <f>"9781903544570"</f>
        <v>9781903544570</v>
      </c>
      <c r="T1486">
        <v>842920085</v>
      </c>
    </row>
    <row r="1487" spans="1:20" x14ac:dyDescent="0.25">
      <c r="A1487">
        <v>561941</v>
      </c>
      <c r="B1487" t="s">
        <v>7259</v>
      </c>
      <c r="D1487" t="s">
        <v>131</v>
      </c>
      <c r="E1487" t="s">
        <v>1144</v>
      </c>
      <c r="F1487">
        <v>2012</v>
      </c>
      <c r="G1487" t="s">
        <v>1145</v>
      </c>
      <c r="H1487" t="s">
        <v>7260</v>
      </c>
      <c r="I1487" t="s">
        <v>7261</v>
      </c>
      <c r="J1487" t="s">
        <v>26</v>
      </c>
      <c r="K1487" t="s">
        <v>86</v>
      </c>
      <c r="L1487" t="b">
        <v>1</v>
      </c>
      <c r="M1487" t="s">
        <v>7262</v>
      </c>
      <c r="N1487" t="str">
        <f>"811/.54"</f>
        <v>811/.54</v>
      </c>
      <c r="O1487" t="s">
        <v>7263</v>
      </c>
      <c r="P1487" t="b">
        <v>1</v>
      </c>
      <c r="R1487" t="str">
        <f>"9781926845968"</f>
        <v>9781926845968</v>
      </c>
      <c r="S1487" t="str">
        <f>"9781927428030"</f>
        <v>9781927428030</v>
      </c>
      <c r="T1487">
        <v>847004525</v>
      </c>
    </row>
    <row r="1488" spans="1:20" x14ac:dyDescent="0.25">
      <c r="A1488">
        <v>561939</v>
      </c>
      <c r="B1488" t="s">
        <v>7264</v>
      </c>
      <c r="D1488" t="s">
        <v>131</v>
      </c>
      <c r="E1488" t="s">
        <v>1144</v>
      </c>
      <c r="F1488">
        <v>2012</v>
      </c>
      <c r="G1488" t="s">
        <v>1145</v>
      </c>
      <c r="H1488" t="s">
        <v>7265</v>
      </c>
      <c r="I1488" t="s">
        <v>7266</v>
      </c>
      <c r="J1488" t="s">
        <v>26</v>
      </c>
      <c r="K1488" t="s">
        <v>86</v>
      </c>
      <c r="L1488" t="b">
        <v>1</v>
      </c>
      <c r="M1488" t="s">
        <v>7267</v>
      </c>
      <c r="N1488" t="str">
        <f>"811/.6"</f>
        <v>811/.6</v>
      </c>
      <c r="O1488" t="s">
        <v>7263</v>
      </c>
      <c r="P1488" t="b">
        <v>1</v>
      </c>
      <c r="R1488" t="str">
        <f>"9781926845906"</f>
        <v>9781926845906</v>
      </c>
      <c r="S1488" t="str">
        <f>"9781926845913"</f>
        <v>9781926845913</v>
      </c>
      <c r="T1488">
        <v>847004830</v>
      </c>
    </row>
    <row r="1489" spans="1:20" x14ac:dyDescent="0.25">
      <c r="A1489">
        <v>561932</v>
      </c>
      <c r="B1489" t="s">
        <v>7268</v>
      </c>
      <c r="C1489" t="s">
        <v>7269</v>
      </c>
      <c r="D1489" t="s">
        <v>131</v>
      </c>
      <c r="E1489" t="s">
        <v>1144</v>
      </c>
      <c r="F1489">
        <v>2012</v>
      </c>
      <c r="G1489" t="s">
        <v>1145</v>
      </c>
      <c r="H1489" t="s">
        <v>7270</v>
      </c>
      <c r="I1489" t="s">
        <v>7271</v>
      </c>
      <c r="J1489" t="s">
        <v>26</v>
      </c>
      <c r="K1489" t="s">
        <v>86</v>
      </c>
      <c r="L1489" t="b">
        <v>1</v>
      </c>
      <c r="M1489" t="s">
        <v>7272</v>
      </c>
      <c r="N1489" t="str">
        <f>"811.54"</f>
        <v>811.54</v>
      </c>
      <c r="P1489" t="b">
        <v>1</v>
      </c>
      <c r="R1489" t="str">
        <f>"9781897231340"</f>
        <v>9781897231340</v>
      </c>
      <c r="S1489" t="str">
        <f>"9781927428528"</f>
        <v>9781927428528</v>
      </c>
      <c r="T1489">
        <v>833763823</v>
      </c>
    </row>
    <row r="1490" spans="1:20" x14ac:dyDescent="0.25">
      <c r="A1490">
        <v>561930</v>
      </c>
      <c r="B1490" t="s">
        <v>7273</v>
      </c>
      <c r="D1490" t="s">
        <v>131</v>
      </c>
      <c r="E1490" t="s">
        <v>1144</v>
      </c>
      <c r="F1490">
        <v>2012</v>
      </c>
      <c r="G1490" t="s">
        <v>1145</v>
      </c>
      <c r="H1490" t="s">
        <v>7274</v>
      </c>
      <c r="I1490" t="s">
        <v>1147</v>
      </c>
      <c r="J1490" t="s">
        <v>26</v>
      </c>
      <c r="K1490" t="s">
        <v>86</v>
      </c>
      <c r="L1490" t="b">
        <v>1</v>
      </c>
      <c r="M1490" t="s">
        <v>7275</v>
      </c>
      <c r="N1490" t="str">
        <f>"811.54;811/.54"</f>
        <v>811.54;811/.54</v>
      </c>
      <c r="P1490" t="b">
        <v>1</v>
      </c>
      <c r="R1490" t="str">
        <f>"9780973588101"</f>
        <v>9780973588101</v>
      </c>
      <c r="S1490" t="str">
        <f>"9781927428481"</f>
        <v>9781927428481</v>
      </c>
      <c r="T1490">
        <v>833763864</v>
      </c>
    </row>
    <row r="1491" spans="1:20" x14ac:dyDescent="0.25">
      <c r="A1491">
        <v>561122</v>
      </c>
      <c r="B1491" t="s">
        <v>7276</v>
      </c>
      <c r="D1491" t="s">
        <v>7277</v>
      </c>
      <c r="E1491" t="s">
        <v>7277</v>
      </c>
      <c r="F1491">
        <v>2012</v>
      </c>
      <c r="G1491" t="s">
        <v>6282</v>
      </c>
      <c r="H1491" t="s">
        <v>7278</v>
      </c>
      <c r="I1491" t="s">
        <v>7279</v>
      </c>
      <c r="J1491" t="s">
        <v>26</v>
      </c>
      <c r="K1491" t="s">
        <v>27</v>
      </c>
      <c r="L1491" t="b">
        <v>1</v>
      </c>
      <c r="M1491" t="s">
        <v>7280</v>
      </c>
      <c r="N1491" t="str">
        <f>"794.8"</f>
        <v>794.8</v>
      </c>
      <c r="P1491" t="b">
        <v>0</v>
      </c>
      <c r="R1491" t="str">
        <f>"9781435461048"</f>
        <v>9781435461048</v>
      </c>
      <c r="S1491" t="str">
        <f>"9781435461055"</f>
        <v>9781435461055</v>
      </c>
      <c r="T1491">
        <v>839909836</v>
      </c>
    </row>
    <row r="1492" spans="1:20" x14ac:dyDescent="0.25">
      <c r="A1492">
        <v>558276</v>
      </c>
      <c r="B1492" t="s">
        <v>7281</v>
      </c>
      <c r="C1492" t="s">
        <v>7282</v>
      </c>
      <c r="D1492" t="s">
        <v>2347</v>
      </c>
      <c r="E1492" t="s">
        <v>2348</v>
      </c>
      <c r="F1492">
        <v>2013</v>
      </c>
      <c r="G1492" t="s">
        <v>6235</v>
      </c>
      <c r="H1492" t="s">
        <v>7283</v>
      </c>
      <c r="I1492" t="s">
        <v>7284</v>
      </c>
      <c r="J1492" t="s">
        <v>26</v>
      </c>
      <c r="K1492" t="s">
        <v>27</v>
      </c>
      <c r="L1492" t="b">
        <v>1</v>
      </c>
      <c r="M1492" t="s">
        <v>7285</v>
      </c>
      <c r="N1492" t="str">
        <f>"364.152/4092;364.1524092"</f>
        <v>364.152/4092;364.1524092</v>
      </c>
      <c r="P1492" t="b">
        <v>0</v>
      </c>
      <c r="S1492" t="str">
        <f>"9781555538217"</f>
        <v>9781555538217</v>
      </c>
      <c r="T1492">
        <v>831121030</v>
      </c>
    </row>
    <row r="1493" spans="1:20" x14ac:dyDescent="0.25">
      <c r="A1493">
        <v>558200</v>
      </c>
      <c r="B1493" t="s">
        <v>7286</v>
      </c>
      <c r="D1493" t="s">
        <v>1364</v>
      </c>
      <c r="E1493" t="s">
        <v>2275</v>
      </c>
      <c r="F1493">
        <v>2003</v>
      </c>
      <c r="G1493" t="s">
        <v>100</v>
      </c>
      <c r="H1493" t="s">
        <v>7287</v>
      </c>
      <c r="I1493" t="s">
        <v>7288</v>
      </c>
      <c r="J1493" t="s">
        <v>26</v>
      </c>
      <c r="K1493" t="s">
        <v>27</v>
      </c>
      <c r="L1493" t="b">
        <v>1</v>
      </c>
      <c r="M1493" t="s">
        <v>7289</v>
      </c>
      <c r="N1493" t="str">
        <f>"410/.1/51"</f>
        <v>410/.1/51</v>
      </c>
      <c r="O1493" t="s">
        <v>7290</v>
      </c>
      <c r="P1493" t="b">
        <v>0</v>
      </c>
      <c r="R1493" t="str">
        <f>"9783110176209"</f>
        <v>9783110176209</v>
      </c>
      <c r="S1493" t="str">
        <f>"9783110895667"</f>
        <v>9783110895667</v>
      </c>
      <c r="T1493">
        <v>841171256</v>
      </c>
    </row>
    <row r="1494" spans="1:20" x14ac:dyDescent="0.25">
      <c r="A1494">
        <v>552006</v>
      </c>
      <c r="B1494" t="s">
        <v>7291</v>
      </c>
      <c r="C1494" t="s">
        <v>7292</v>
      </c>
      <c r="D1494" t="s">
        <v>717</v>
      </c>
      <c r="E1494" t="s">
        <v>7293</v>
      </c>
      <c r="F1494">
        <v>2012</v>
      </c>
      <c r="G1494" t="s">
        <v>7294</v>
      </c>
      <c r="H1494" t="s">
        <v>7295</v>
      </c>
      <c r="I1494" t="s">
        <v>7296</v>
      </c>
      <c r="J1494" t="s">
        <v>26</v>
      </c>
      <c r="K1494" t="s">
        <v>27</v>
      </c>
      <c r="L1494" t="b">
        <v>1</v>
      </c>
      <c r="M1494" t="s">
        <v>7297</v>
      </c>
      <c r="N1494" t="str">
        <f>"792.094"</f>
        <v>792.094</v>
      </c>
      <c r="P1494" t="b">
        <v>0</v>
      </c>
      <c r="R1494" t="str">
        <f>"9781841505473"</f>
        <v>9781841505473</v>
      </c>
      <c r="S1494" t="str">
        <f>"9781461928423"</f>
        <v>9781461928423</v>
      </c>
      <c r="T1494">
        <v>830167306</v>
      </c>
    </row>
    <row r="1495" spans="1:20" x14ac:dyDescent="0.25">
      <c r="A1495">
        <v>550358</v>
      </c>
      <c r="B1495" t="s">
        <v>7298</v>
      </c>
      <c r="C1495" t="s">
        <v>7299</v>
      </c>
      <c r="D1495" t="s">
        <v>98</v>
      </c>
      <c r="E1495" t="s">
        <v>99</v>
      </c>
      <c r="F1495">
        <v>2011</v>
      </c>
      <c r="G1495" t="s">
        <v>1110</v>
      </c>
      <c r="H1495" t="s">
        <v>7300</v>
      </c>
      <c r="I1495" t="s">
        <v>7301</v>
      </c>
      <c r="J1495" t="s">
        <v>26</v>
      </c>
      <c r="K1495" t="s">
        <v>27</v>
      </c>
      <c r="L1495" t="b">
        <v>1</v>
      </c>
      <c r="M1495" t="s">
        <v>7302</v>
      </c>
      <c r="N1495" t="str">
        <f>"616.890092"</f>
        <v>616.890092</v>
      </c>
      <c r="O1495" t="s">
        <v>7303</v>
      </c>
      <c r="P1495" t="b">
        <v>0</v>
      </c>
      <c r="R1495" t="str">
        <f>"9780199583577"</f>
        <v>9780199583577</v>
      </c>
      <c r="S1495" t="str">
        <f>"9780191625473"</f>
        <v>9780191625473</v>
      </c>
      <c r="T1495">
        <v>831672864</v>
      </c>
    </row>
    <row r="1496" spans="1:20" x14ac:dyDescent="0.25">
      <c r="A1496">
        <v>548324</v>
      </c>
      <c r="B1496" t="s">
        <v>7304</v>
      </c>
      <c r="D1496" t="s">
        <v>2238</v>
      </c>
      <c r="E1496" t="s">
        <v>2239</v>
      </c>
      <c r="F1496">
        <v>2005</v>
      </c>
      <c r="G1496" t="s">
        <v>1016</v>
      </c>
      <c r="H1496" t="s">
        <v>7305</v>
      </c>
      <c r="I1496" t="s">
        <v>7306</v>
      </c>
      <c r="J1496" t="s">
        <v>26</v>
      </c>
      <c r="K1496" t="s">
        <v>27</v>
      </c>
      <c r="L1496" t="b">
        <v>1</v>
      </c>
      <c r="M1496" t="s">
        <v>7307</v>
      </c>
      <c r="N1496" t="str">
        <f>"371.829/00973"</f>
        <v>371.829/00973</v>
      </c>
      <c r="O1496" t="s">
        <v>7308</v>
      </c>
      <c r="P1496" t="b">
        <v>0</v>
      </c>
      <c r="R1496" t="str">
        <f>"9780415949927"</f>
        <v>9780415949927</v>
      </c>
      <c r="S1496" t="str">
        <f>"9781136764486"</f>
        <v>9781136764486</v>
      </c>
      <c r="T1496">
        <v>830323650</v>
      </c>
    </row>
    <row r="1497" spans="1:20" x14ac:dyDescent="0.25">
      <c r="A1497">
        <v>547638</v>
      </c>
      <c r="B1497" t="s">
        <v>7309</v>
      </c>
      <c r="D1497" t="s">
        <v>123</v>
      </c>
      <c r="E1497" t="s">
        <v>219</v>
      </c>
      <c r="F1497">
        <v>2000</v>
      </c>
      <c r="G1497" t="s">
        <v>4159</v>
      </c>
      <c r="H1497" t="s">
        <v>7310</v>
      </c>
      <c r="I1497" t="s">
        <v>7311</v>
      </c>
      <c r="J1497" t="s">
        <v>26</v>
      </c>
      <c r="K1497" t="s">
        <v>48</v>
      </c>
      <c r="L1497" t="b">
        <v>1</v>
      </c>
      <c r="M1497" t="s">
        <v>7312</v>
      </c>
      <c r="N1497" t="str">
        <f>"294.3/37"</f>
        <v>294.3/37</v>
      </c>
      <c r="P1497" t="b">
        <v>0</v>
      </c>
      <c r="Q1497" t="b">
        <v>0</v>
      </c>
      <c r="R1497" t="str">
        <f>"9780861711598"</f>
        <v>9780861711598</v>
      </c>
      <c r="S1497" t="str">
        <f>"9780861718412"</f>
        <v>9780861718412</v>
      </c>
      <c r="T1497">
        <v>844350971</v>
      </c>
    </row>
    <row r="1498" spans="1:20" x14ac:dyDescent="0.25">
      <c r="A1498">
        <v>547637</v>
      </c>
      <c r="B1498" t="s">
        <v>7313</v>
      </c>
      <c r="D1498" t="s">
        <v>123</v>
      </c>
      <c r="E1498" t="s">
        <v>219</v>
      </c>
      <c r="F1498">
        <v>2012</v>
      </c>
      <c r="G1498" t="s">
        <v>7314</v>
      </c>
      <c r="H1498" t="s">
        <v>7315</v>
      </c>
      <c r="I1498" t="s">
        <v>7316</v>
      </c>
      <c r="J1498" t="s">
        <v>26</v>
      </c>
      <c r="K1498" t="s">
        <v>48</v>
      </c>
      <c r="L1498" t="b">
        <v>1</v>
      </c>
      <c r="M1498" t="s">
        <v>7317</v>
      </c>
      <c r="N1498" t="str">
        <f>"616.02/9"</f>
        <v>616.02/9</v>
      </c>
      <c r="P1498" t="b">
        <v>0</v>
      </c>
      <c r="Q1498" t="b">
        <v>0</v>
      </c>
      <c r="R1498" t="str">
        <f>"9781614290520"</f>
        <v>9781614290520</v>
      </c>
      <c r="S1498" t="str">
        <f>"9781614290636"</f>
        <v>9781614290636</v>
      </c>
      <c r="T1498">
        <v>825970779</v>
      </c>
    </row>
    <row r="1499" spans="1:20" x14ac:dyDescent="0.25">
      <c r="A1499">
        <v>547606</v>
      </c>
      <c r="B1499" t="s">
        <v>7318</v>
      </c>
      <c r="C1499" t="s">
        <v>7319</v>
      </c>
      <c r="D1499" t="s">
        <v>7320</v>
      </c>
      <c r="E1499" t="s">
        <v>7071</v>
      </c>
      <c r="F1499">
        <v>2011</v>
      </c>
      <c r="G1499" t="s">
        <v>1200</v>
      </c>
      <c r="H1499" t="s">
        <v>7321</v>
      </c>
      <c r="J1499" t="s">
        <v>26</v>
      </c>
      <c r="K1499" t="s">
        <v>86</v>
      </c>
      <c r="L1499" t="b">
        <v>0</v>
      </c>
      <c r="M1499" t="s">
        <v>7322</v>
      </c>
      <c r="N1499" t="str">
        <f>"891.73/44"</f>
        <v>891.73/44</v>
      </c>
      <c r="P1499" t="b">
        <v>1</v>
      </c>
      <c r="R1499" t="str">
        <f>"9781582436029"</f>
        <v>9781582436029</v>
      </c>
      <c r="S1499" t="str">
        <f>"9781582438467"</f>
        <v>9781582438467</v>
      </c>
      <c r="T1499">
        <v>759006816</v>
      </c>
    </row>
    <row r="1500" spans="1:20" x14ac:dyDescent="0.25">
      <c r="A1500">
        <v>547397</v>
      </c>
      <c r="B1500" t="s">
        <v>7323</v>
      </c>
      <c r="D1500" t="s">
        <v>7324</v>
      </c>
      <c r="E1500" t="s">
        <v>7324</v>
      </c>
      <c r="F1500">
        <v>2010</v>
      </c>
      <c r="G1500" t="s">
        <v>2310</v>
      </c>
      <c r="H1500" t="s">
        <v>7325</v>
      </c>
      <c r="I1500" t="s">
        <v>1147</v>
      </c>
      <c r="J1500" t="s">
        <v>26</v>
      </c>
      <c r="K1500" t="s">
        <v>27</v>
      </c>
      <c r="L1500" t="b">
        <v>1</v>
      </c>
      <c r="M1500" t="s">
        <v>7326</v>
      </c>
      <c r="N1500" t="str">
        <f>"811/.54;821.9;821.914;821.914"</f>
        <v>811/.54;821.9;821.914;821.914</v>
      </c>
      <c r="O1500" t="s">
        <v>7327</v>
      </c>
      <c r="P1500" t="b">
        <v>0</v>
      </c>
      <c r="R1500" t="str">
        <f>"9780520262393"</f>
        <v>9780520262393</v>
      </c>
      <c r="S1500" t="str">
        <f>"9780520946163"</f>
        <v>9780520946163</v>
      </c>
      <c r="T1500">
        <v>773564938</v>
      </c>
    </row>
    <row r="1501" spans="1:20" x14ac:dyDescent="0.25">
      <c r="A1501">
        <v>546646</v>
      </c>
      <c r="B1501" t="s">
        <v>7328</v>
      </c>
      <c r="D1501" t="s">
        <v>4505</v>
      </c>
      <c r="E1501" t="s">
        <v>4506</v>
      </c>
      <c r="F1501">
        <v>2004</v>
      </c>
      <c r="G1501" t="s">
        <v>7329</v>
      </c>
      <c r="H1501" t="s">
        <v>7330</v>
      </c>
      <c r="I1501" t="s">
        <v>7331</v>
      </c>
      <c r="J1501" t="s">
        <v>26</v>
      </c>
      <c r="K1501" t="s">
        <v>27</v>
      </c>
      <c r="L1501" t="b">
        <v>1</v>
      </c>
      <c r="M1501" t="s">
        <v>7332</v>
      </c>
      <c r="N1501" t="str">
        <f>"341.3/3"</f>
        <v>341.3/3</v>
      </c>
      <c r="P1501" t="b">
        <v>0</v>
      </c>
      <c r="R1501" t="str">
        <f>"9789004141421"</f>
        <v>9789004141421</v>
      </c>
      <c r="S1501" t="str">
        <f>"9789047414339"</f>
        <v>9789047414339</v>
      </c>
      <c r="T1501">
        <v>829713379</v>
      </c>
    </row>
    <row r="1502" spans="1:20" x14ac:dyDescent="0.25">
      <c r="A1502">
        <v>545570</v>
      </c>
      <c r="B1502" t="s">
        <v>7333</v>
      </c>
      <c r="D1502" t="s">
        <v>7334</v>
      </c>
      <c r="E1502" t="s">
        <v>7335</v>
      </c>
      <c r="F1502">
        <v>2013</v>
      </c>
      <c r="G1502" t="s">
        <v>57</v>
      </c>
      <c r="H1502" t="s">
        <v>7336</v>
      </c>
      <c r="I1502" t="s">
        <v>7337</v>
      </c>
      <c r="J1502" t="s">
        <v>26</v>
      </c>
      <c r="K1502" t="s">
        <v>27</v>
      </c>
      <c r="L1502" t="b">
        <v>1</v>
      </c>
      <c r="M1502" t="s">
        <v>7338</v>
      </c>
      <c r="N1502" t="str">
        <f>"363.25"</f>
        <v>363.25</v>
      </c>
      <c r="P1502" t="b">
        <v>0</v>
      </c>
      <c r="R1502" t="str">
        <f>"9780398088507"</f>
        <v>9780398088507</v>
      </c>
      <c r="S1502" t="str">
        <f>"9780398088514"</f>
        <v>9780398088514</v>
      </c>
      <c r="T1502">
        <v>828793778</v>
      </c>
    </row>
    <row r="1503" spans="1:20" x14ac:dyDescent="0.25">
      <c r="A1503">
        <v>545569</v>
      </c>
      <c r="B1503" t="s">
        <v>7339</v>
      </c>
      <c r="D1503" t="s">
        <v>7334</v>
      </c>
      <c r="E1503" t="s">
        <v>7335</v>
      </c>
      <c r="F1503">
        <v>2013</v>
      </c>
      <c r="G1503" t="s">
        <v>7340</v>
      </c>
      <c r="H1503" t="s">
        <v>7341</v>
      </c>
      <c r="I1503" t="s">
        <v>7337</v>
      </c>
      <c r="J1503" t="s">
        <v>26</v>
      </c>
      <c r="K1503" t="s">
        <v>27</v>
      </c>
      <c r="L1503" t="b">
        <v>1</v>
      </c>
      <c r="M1503" t="s">
        <v>7342</v>
      </c>
      <c r="N1503" t="str">
        <f>"363.25"</f>
        <v>363.25</v>
      </c>
      <c r="P1503" t="b">
        <v>0</v>
      </c>
      <c r="Q1503" t="b">
        <v>0</v>
      </c>
      <c r="R1503" t="str">
        <f>"9780398088453"</f>
        <v>9780398088453</v>
      </c>
      <c r="S1503" t="str">
        <f>"9780398088460"</f>
        <v>9780398088460</v>
      </c>
      <c r="T1503">
        <v>828793780</v>
      </c>
    </row>
    <row r="1504" spans="1:20" x14ac:dyDescent="0.25">
      <c r="A1504">
        <v>540552</v>
      </c>
      <c r="B1504" t="s">
        <v>7343</v>
      </c>
      <c r="C1504" t="s">
        <v>7344</v>
      </c>
      <c r="D1504" t="s">
        <v>2269</v>
      </c>
      <c r="E1504" t="s">
        <v>2269</v>
      </c>
      <c r="F1504">
        <v>2009</v>
      </c>
      <c r="G1504" t="s">
        <v>7345</v>
      </c>
      <c r="H1504" t="s">
        <v>7346</v>
      </c>
      <c r="I1504" t="s">
        <v>7347</v>
      </c>
      <c r="J1504" t="s">
        <v>26</v>
      </c>
      <c r="K1504" t="s">
        <v>27</v>
      </c>
      <c r="L1504" t="b">
        <v>1</v>
      </c>
      <c r="M1504" t="s">
        <v>7348</v>
      </c>
      <c r="N1504" t="str">
        <f>"387.7/360684"</f>
        <v>387.7/360684</v>
      </c>
      <c r="O1504" t="s">
        <v>7349</v>
      </c>
      <c r="P1504" t="b">
        <v>0</v>
      </c>
      <c r="R1504" t="str">
        <f>"9781607413080"</f>
        <v>9781607413080</v>
      </c>
      <c r="S1504" t="str">
        <f>"9781617615603"</f>
        <v>9781617615603</v>
      </c>
      <c r="T1504">
        <v>837527702</v>
      </c>
    </row>
    <row r="1505" spans="1:20" x14ac:dyDescent="0.25">
      <c r="A1505">
        <v>540331</v>
      </c>
      <c r="B1505" t="s">
        <v>7350</v>
      </c>
      <c r="D1505" t="s">
        <v>2269</v>
      </c>
      <c r="E1505" t="s">
        <v>2269</v>
      </c>
      <c r="F1505">
        <v>2009</v>
      </c>
      <c r="G1505" t="s">
        <v>7351</v>
      </c>
      <c r="H1505" t="s">
        <v>7352</v>
      </c>
      <c r="I1505" t="s">
        <v>7353</v>
      </c>
      <c r="J1505" t="s">
        <v>26</v>
      </c>
      <c r="K1505" t="s">
        <v>27</v>
      </c>
      <c r="L1505" t="b">
        <v>1</v>
      </c>
      <c r="M1505" t="s">
        <v>7354</v>
      </c>
      <c r="N1505" t="str">
        <f>"530.4/12"</f>
        <v>530.4/12</v>
      </c>
      <c r="O1505" t="s">
        <v>7355</v>
      </c>
      <c r="P1505" t="b">
        <v>0</v>
      </c>
      <c r="Q1505" t="b">
        <v>0</v>
      </c>
      <c r="R1505" t="str">
        <f>"9781607415503"</f>
        <v>9781607415503</v>
      </c>
      <c r="S1505" t="str">
        <f>"9781617285349"</f>
        <v>9781617285349</v>
      </c>
      <c r="T1505">
        <v>837527736</v>
      </c>
    </row>
    <row r="1506" spans="1:20" x14ac:dyDescent="0.25">
      <c r="A1506">
        <v>540207</v>
      </c>
      <c r="B1506" t="s">
        <v>7356</v>
      </c>
      <c r="D1506" t="s">
        <v>2269</v>
      </c>
      <c r="E1506" t="s">
        <v>2269</v>
      </c>
      <c r="F1506">
        <v>2009</v>
      </c>
      <c r="G1506" t="s">
        <v>4688</v>
      </c>
      <c r="H1506" t="s">
        <v>7357</v>
      </c>
      <c r="I1506" t="s">
        <v>7358</v>
      </c>
      <c r="J1506" t="s">
        <v>26</v>
      </c>
      <c r="K1506" t="s">
        <v>27</v>
      </c>
      <c r="L1506" t="b">
        <v>1</v>
      </c>
      <c r="M1506" t="s">
        <v>7359</v>
      </c>
      <c r="N1506" t="str">
        <f>"572.8/633"</f>
        <v>572.8/633</v>
      </c>
      <c r="O1506" t="s">
        <v>7360</v>
      </c>
      <c r="P1506" t="b">
        <v>0</v>
      </c>
      <c r="Q1506" t="b">
        <v>0</v>
      </c>
      <c r="R1506" t="str">
        <f>"9781606928172"</f>
        <v>9781606928172</v>
      </c>
      <c r="S1506" t="str">
        <f>"9781614705871"</f>
        <v>9781614705871</v>
      </c>
      <c r="T1506">
        <v>836869081</v>
      </c>
    </row>
    <row r="1507" spans="1:20" x14ac:dyDescent="0.25">
      <c r="A1507">
        <v>540206</v>
      </c>
      <c r="B1507" t="s">
        <v>7361</v>
      </c>
      <c r="D1507" t="s">
        <v>2269</v>
      </c>
      <c r="E1507" t="s">
        <v>2269</v>
      </c>
      <c r="F1507">
        <v>2009</v>
      </c>
      <c r="G1507" t="s">
        <v>4670</v>
      </c>
      <c r="H1507" t="s">
        <v>7362</v>
      </c>
      <c r="I1507" t="s">
        <v>7363</v>
      </c>
      <c r="J1507" t="s">
        <v>26</v>
      </c>
      <c r="K1507" t="s">
        <v>27</v>
      </c>
      <c r="L1507" t="b">
        <v>1</v>
      </c>
      <c r="M1507" t="s">
        <v>7364</v>
      </c>
      <c r="N1507" t="str">
        <f>"530.4/4"</f>
        <v>530.4/4</v>
      </c>
      <c r="P1507" t="b">
        <v>0</v>
      </c>
      <c r="Q1507" t="b">
        <v>0</v>
      </c>
      <c r="R1507" t="str">
        <f>"9781606922323"</f>
        <v>9781606922323</v>
      </c>
      <c r="S1507" t="str">
        <f>"9781614705857"</f>
        <v>9781614705857</v>
      </c>
      <c r="T1507">
        <v>836864206</v>
      </c>
    </row>
    <row r="1508" spans="1:20" x14ac:dyDescent="0.25">
      <c r="A1508">
        <v>540184</v>
      </c>
      <c r="B1508" t="s">
        <v>7365</v>
      </c>
      <c r="C1508" t="s">
        <v>7366</v>
      </c>
      <c r="D1508" t="s">
        <v>2269</v>
      </c>
      <c r="E1508" t="s">
        <v>2269</v>
      </c>
      <c r="F1508">
        <v>2009</v>
      </c>
      <c r="G1508" t="s">
        <v>7367</v>
      </c>
      <c r="H1508" t="s">
        <v>7368</v>
      </c>
      <c r="I1508" t="s">
        <v>7369</v>
      </c>
      <c r="J1508" t="s">
        <v>26</v>
      </c>
      <c r="K1508" t="s">
        <v>27</v>
      </c>
      <c r="L1508" t="b">
        <v>1</v>
      </c>
      <c r="M1508" t="s">
        <v>7370</v>
      </c>
      <c r="N1508" t="str">
        <f>"616.3/9800835"</f>
        <v>616.3/9800835</v>
      </c>
      <c r="O1508" t="s">
        <v>7371</v>
      </c>
      <c r="P1508" t="b">
        <v>0</v>
      </c>
      <c r="Q1508" t="b">
        <v>0</v>
      </c>
      <c r="R1508" t="str">
        <f>"9781606928219"</f>
        <v>9781606928219</v>
      </c>
      <c r="S1508" t="str">
        <f>"9781614704652"</f>
        <v>9781614704652</v>
      </c>
      <c r="T1508">
        <v>836848797</v>
      </c>
    </row>
    <row r="1509" spans="1:20" x14ac:dyDescent="0.25">
      <c r="A1509">
        <v>540181</v>
      </c>
      <c r="B1509" t="s">
        <v>7372</v>
      </c>
      <c r="C1509" t="s">
        <v>7373</v>
      </c>
      <c r="D1509" t="s">
        <v>2269</v>
      </c>
      <c r="E1509" t="s">
        <v>2269</v>
      </c>
      <c r="F1509">
        <v>2009</v>
      </c>
      <c r="G1509" t="s">
        <v>7374</v>
      </c>
      <c r="H1509" t="s">
        <v>7375</v>
      </c>
      <c r="I1509" t="s">
        <v>7376</v>
      </c>
      <c r="J1509" t="s">
        <v>26</v>
      </c>
      <c r="K1509" t="s">
        <v>27</v>
      </c>
      <c r="L1509" t="b">
        <v>1</v>
      </c>
      <c r="M1509" t="s">
        <v>7377</v>
      </c>
      <c r="N1509" t="str">
        <f>"541/.38"</f>
        <v>541/.38</v>
      </c>
      <c r="P1509" t="b">
        <v>0</v>
      </c>
      <c r="Q1509" t="b">
        <v>0</v>
      </c>
      <c r="R1509" t="str">
        <f>"9781604569575"</f>
        <v>9781604569575</v>
      </c>
      <c r="S1509" t="str">
        <f>"9781614704454"</f>
        <v>9781614704454</v>
      </c>
      <c r="T1509">
        <v>836864260</v>
      </c>
    </row>
    <row r="1510" spans="1:20" x14ac:dyDescent="0.25">
      <c r="A1510">
        <v>540175</v>
      </c>
      <c r="B1510" t="s">
        <v>7378</v>
      </c>
      <c r="D1510" t="s">
        <v>2269</v>
      </c>
      <c r="E1510" t="s">
        <v>2269</v>
      </c>
      <c r="F1510">
        <v>2009</v>
      </c>
      <c r="G1510" t="s">
        <v>7379</v>
      </c>
      <c r="H1510" t="s">
        <v>7380</v>
      </c>
      <c r="I1510" t="s">
        <v>7381</v>
      </c>
      <c r="J1510" t="s">
        <v>26</v>
      </c>
      <c r="K1510" t="s">
        <v>27</v>
      </c>
      <c r="L1510" t="b">
        <v>1</v>
      </c>
      <c r="M1510" t="s">
        <v>7382</v>
      </c>
      <c r="N1510" t="str">
        <f>"539.7"</f>
        <v>539.7</v>
      </c>
      <c r="P1510" t="b">
        <v>0</v>
      </c>
      <c r="Q1510" t="b">
        <v>0</v>
      </c>
      <c r="R1510" t="str">
        <f>"9781606928882"</f>
        <v>9781606928882</v>
      </c>
      <c r="S1510" t="str">
        <f>"9781614704379"</f>
        <v>9781614704379</v>
      </c>
      <c r="T1510">
        <v>834603858</v>
      </c>
    </row>
    <row r="1511" spans="1:20" x14ac:dyDescent="0.25">
      <c r="A1511">
        <v>540103</v>
      </c>
      <c r="B1511" t="s">
        <v>7383</v>
      </c>
      <c r="D1511" t="s">
        <v>2269</v>
      </c>
      <c r="E1511" t="s">
        <v>2269</v>
      </c>
      <c r="F1511">
        <v>2009</v>
      </c>
      <c r="G1511" t="s">
        <v>334</v>
      </c>
      <c r="H1511" t="s">
        <v>7384</v>
      </c>
      <c r="I1511" t="s">
        <v>7385</v>
      </c>
      <c r="J1511" t="s">
        <v>26</v>
      </c>
      <c r="K1511" t="s">
        <v>27</v>
      </c>
      <c r="L1511" t="b">
        <v>1</v>
      </c>
      <c r="M1511" t="s">
        <v>7386</v>
      </c>
      <c r="N1511" t="str">
        <f>"620.3"</f>
        <v>620.3</v>
      </c>
      <c r="O1511" t="s">
        <v>7387</v>
      </c>
      <c r="P1511" t="b">
        <v>0</v>
      </c>
      <c r="Q1511" t="b">
        <v>0</v>
      </c>
      <c r="R1511" t="str">
        <f>"9781608761265"</f>
        <v>9781608761265</v>
      </c>
      <c r="S1511" t="str">
        <f>"9781614702306"</f>
        <v>9781614702306</v>
      </c>
      <c r="T1511">
        <v>830627815</v>
      </c>
    </row>
    <row r="1512" spans="1:20" x14ac:dyDescent="0.25">
      <c r="A1512">
        <v>540072</v>
      </c>
      <c r="B1512" t="s">
        <v>7388</v>
      </c>
      <c r="D1512" t="s">
        <v>2269</v>
      </c>
      <c r="E1512" t="s">
        <v>2269</v>
      </c>
      <c r="F1512">
        <v>2009</v>
      </c>
      <c r="G1512" t="s">
        <v>7389</v>
      </c>
      <c r="H1512" t="s">
        <v>7390</v>
      </c>
      <c r="I1512" t="s">
        <v>7391</v>
      </c>
      <c r="J1512" t="s">
        <v>26</v>
      </c>
      <c r="K1512" t="s">
        <v>27</v>
      </c>
      <c r="L1512" t="b">
        <v>1</v>
      </c>
      <c r="M1512" t="s">
        <v>7392</v>
      </c>
      <c r="N1512" t="str">
        <f>"519.3"</f>
        <v>519.3</v>
      </c>
      <c r="P1512" t="b">
        <v>0</v>
      </c>
      <c r="Q1512" t="b">
        <v>0</v>
      </c>
      <c r="R1512" t="str">
        <f>"9781606924136"</f>
        <v>9781606924136</v>
      </c>
      <c r="S1512" t="str">
        <f>"9781613249390"</f>
        <v>9781613249390</v>
      </c>
      <c r="T1512">
        <v>836869687</v>
      </c>
    </row>
    <row r="1513" spans="1:20" x14ac:dyDescent="0.25">
      <c r="A1513">
        <v>539266</v>
      </c>
      <c r="B1513" t="s">
        <v>7393</v>
      </c>
      <c r="D1513" t="s">
        <v>2269</v>
      </c>
      <c r="E1513" t="s">
        <v>2269</v>
      </c>
      <c r="F1513">
        <v>2009</v>
      </c>
      <c r="G1513" t="s">
        <v>7394</v>
      </c>
      <c r="H1513" t="s">
        <v>7395</v>
      </c>
      <c r="I1513" t="s">
        <v>7396</v>
      </c>
      <c r="J1513" t="s">
        <v>26</v>
      </c>
      <c r="K1513" t="s">
        <v>27</v>
      </c>
      <c r="L1513" t="b">
        <v>1</v>
      </c>
      <c r="M1513" t="s">
        <v>7397</v>
      </c>
      <c r="N1513" t="str">
        <f>"616.1/20082"</f>
        <v>616.1/20082</v>
      </c>
      <c r="P1513" t="b">
        <v>0</v>
      </c>
      <c r="Q1513" t="b">
        <v>0</v>
      </c>
      <c r="R1513" t="str">
        <f>"9781606920664"</f>
        <v>9781606920664</v>
      </c>
      <c r="S1513" t="str">
        <f>"9781607410904"</f>
        <v>9781607410904</v>
      </c>
      <c r="T1513">
        <v>839305400</v>
      </c>
    </row>
    <row r="1514" spans="1:20" x14ac:dyDescent="0.25">
      <c r="A1514">
        <v>539205</v>
      </c>
      <c r="B1514" t="s">
        <v>7398</v>
      </c>
      <c r="D1514" t="s">
        <v>2269</v>
      </c>
      <c r="E1514" t="s">
        <v>2269</v>
      </c>
      <c r="F1514">
        <v>2009</v>
      </c>
      <c r="G1514" t="s">
        <v>7399</v>
      </c>
      <c r="H1514" t="s">
        <v>7400</v>
      </c>
      <c r="I1514" t="s">
        <v>7401</v>
      </c>
      <c r="J1514" t="s">
        <v>26</v>
      </c>
      <c r="K1514" t="s">
        <v>27</v>
      </c>
      <c r="L1514" t="b">
        <v>1</v>
      </c>
      <c r="M1514" t="s">
        <v>7402</v>
      </c>
      <c r="N1514" t="str">
        <f>"618.97/462"</f>
        <v>618.97/462</v>
      </c>
      <c r="P1514" t="b">
        <v>0</v>
      </c>
      <c r="R1514" t="str">
        <f>"9781606926178"</f>
        <v>9781606926178</v>
      </c>
      <c r="S1514" t="str">
        <f>"9781608764372"</f>
        <v>9781608764372</v>
      </c>
      <c r="T1514">
        <v>839304903</v>
      </c>
    </row>
    <row r="1515" spans="1:20" x14ac:dyDescent="0.25">
      <c r="A1515">
        <v>534348</v>
      </c>
      <c r="B1515" t="s">
        <v>7403</v>
      </c>
      <c r="C1515" t="s">
        <v>7404</v>
      </c>
      <c r="D1515" t="s">
        <v>91</v>
      </c>
      <c r="E1515" t="s">
        <v>92</v>
      </c>
      <c r="F1515">
        <v>2013</v>
      </c>
      <c r="G1515" t="s">
        <v>4275</v>
      </c>
      <c r="H1515" t="s">
        <v>7405</v>
      </c>
      <c r="I1515" t="s">
        <v>7406</v>
      </c>
      <c r="J1515" t="s">
        <v>26</v>
      </c>
      <c r="K1515" t="s">
        <v>86</v>
      </c>
      <c r="L1515" t="b">
        <v>1</v>
      </c>
      <c r="M1515" t="s">
        <v>7407</v>
      </c>
      <c r="N1515" t="str">
        <f>"617.5/23"</f>
        <v>617.5/23</v>
      </c>
      <c r="P1515" t="b">
        <v>0</v>
      </c>
      <c r="R1515" t="str">
        <f>"9781604066876"</f>
        <v>9781604066876</v>
      </c>
      <c r="S1515" t="str">
        <f>"9781604066883"</f>
        <v>9781604066883</v>
      </c>
      <c r="T1515">
        <v>833439301</v>
      </c>
    </row>
    <row r="1516" spans="1:20" x14ac:dyDescent="0.25">
      <c r="A1516">
        <v>534293</v>
      </c>
      <c r="B1516" t="s">
        <v>7408</v>
      </c>
      <c r="D1516" t="s">
        <v>91</v>
      </c>
      <c r="E1516" t="s">
        <v>92</v>
      </c>
      <c r="F1516">
        <v>2012</v>
      </c>
      <c r="G1516" t="s">
        <v>2292</v>
      </c>
      <c r="H1516" t="s">
        <v>7409</v>
      </c>
      <c r="I1516" t="s">
        <v>7410</v>
      </c>
      <c r="J1516" t="s">
        <v>26</v>
      </c>
      <c r="K1516" t="s">
        <v>27</v>
      </c>
      <c r="L1516" t="b">
        <v>1</v>
      </c>
      <c r="M1516" t="s">
        <v>7411</v>
      </c>
      <c r="N1516" t="str">
        <f>"617.5/14"</f>
        <v>617.5/14</v>
      </c>
      <c r="P1516" t="b">
        <v>0</v>
      </c>
      <c r="R1516" t="str">
        <f>"9781588906632"</f>
        <v>9781588906632</v>
      </c>
      <c r="S1516" t="str">
        <f>"9781604063929"</f>
        <v>9781604063929</v>
      </c>
      <c r="T1516">
        <v>774048326</v>
      </c>
    </row>
    <row r="1517" spans="1:20" x14ac:dyDescent="0.25">
      <c r="A1517">
        <v>534278</v>
      </c>
      <c r="B1517" t="s">
        <v>7412</v>
      </c>
      <c r="C1517" t="s">
        <v>7413</v>
      </c>
      <c r="D1517" t="s">
        <v>91</v>
      </c>
      <c r="E1517" t="s">
        <v>92</v>
      </c>
      <c r="F1517">
        <v>2011</v>
      </c>
      <c r="G1517" t="s">
        <v>2383</v>
      </c>
      <c r="H1517" t="s">
        <v>7414</v>
      </c>
      <c r="I1517" t="s">
        <v>7415</v>
      </c>
      <c r="J1517" t="s">
        <v>26</v>
      </c>
      <c r="K1517" t="s">
        <v>86</v>
      </c>
      <c r="L1517" t="b">
        <v>1</v>
      </c>
      <c r="M1517" t="s">
        <v>7416</v>
      </c>
      <c r="N1517" t="str">
        <f>"617.4/80076"</f>
        <v>617.4/80076</v>
      </c>
      <c r="P1517" t="b">
        <v>0</v>
      </c>
      <c r="R1517" t="str">
        <f>"9781588904997"</f>
        <v>9781588904997</v>
      </c>
      <c r="S1517" t="str">
        <f>"9781604064162"</f>
        <v>9781604064162</v>
      </c>
      <c r="T1517">
        <v>774047763</v>
      </c>
    </row>
    <row r="1518" spans="1:20" x14ac:dyDescent="0.25">
      <c r="A1518">
        <v>534254</v>
      </c>
      <c r="B1518" t="s">
        <v>7417</v>
      </c>
      <c r="C1518" t="s">
        <v>7418</v>
      </c>
      <c r="D1518" t="s">
        <v>91</v>
      </c>
      <c r="E1518" t="s">
        <v>92</v>
      </c>
      <c r="F1518">
        <v>2012</v>
      </c>
      <c r="G1518" t="s">
        <v>7419</v>
      </c>
      <c r="H1518" t="s">
        <v>7420</v>
      </c>
      <c r="I1518" t="s">
        <v>7421</v>
      </c>
      <c r="J1518" t="s">
        <v>26</v>
      </c>
      <c r="K1518" t="s">
        <v>86</v>
      </c>
      <c r="L1518" t="b">
        <v>1</v>
      </c>
      <c r="M1518" t="s">
        <v>7422</v>
      </c>
      <c r="N1518" t="str">
        <f>"618.1/907548"</f>
        <v>618.1/907548</v>
      </c>
      <c r="P1518" t="b">
        <v>0</v>
      </c>
      <c r="R1518" t="str">
        <f>"9783131320322"</f>
        <v>9783131320322</v>
      </c>
      <c r="S1518" t="str">
        <f>"9783131670328"</f>
        <v>9783131670328</v>
      </c>
      <c r="T1518">
        <v>834136826</v>
      </c>
    </row>
    <row r="1519" spans="1:20" x14ac:dyDescent="0.25">
      <c r="A1519">
        <v>534215</v>
      </c>
      <c r="B1519" t="s">
        <v>7423</v>
      </c>
      <c r="D1519" t="s">
        <v>91</v>
      </c>
      <c r="E1519" t="s">
        <v>92</v>
      </c>
      <c r="F1519">
        <v>2011</v>
      </c>
      <c r="G1519" t="s">
        <v>5889</v>
      </c>
      <c r="H1519" t="s">
        <v>7424</v>
      </c>
      <c r="I1519" t="s">
        <v>7425</v>
      </c>
      <c r="J1519" t="s">
        <v>26</v>
      </c>
      <c r="K1519" t="s">
        <v>86</v>
      </c>
      <c r="L1519" t="b">
        <v>1</v>
      </c>
      <c r="M1519" t="s">
        <v>7426</v>
      </c>
      <c r="N1519" t="str">
        <f>"616.8/047572"</f>
        <v>616.8/047572</v>
      </c>
      <c r="O1519" t="s">
        <v>7427</v>
      </c>
      <c r="P1519" t="b">
        <v>0</v>
      </c>
      <c r="R1519" t="str">
        <f>"9781604061895"</f>
        <v>9781604061895</v>
      </c>
      <c r="S1519" t="str">
        <f>"9781604061901"</f>
        <v>9781604061901</v>
      </c>
      <c r="T1519">
        <v>847527400</v>
      </c>
    </row>
    <row r="1520" spans="1:20" x14ac:dyDescent="0.25">
      <c r="A1520">
        <v>534197</v>
      </c>
      <c r="B1520" t="s">
        <v>7428</v>
      </c>
      <c r="D1520" t="s">
        <v>91</v>
      </c>
      <c r="E1520" t="s">
        <v>92</v>
      </c>
      <c r="F1520">
        <v>2010</v>
      </c>
      <c r="G1520" t="s">
        <v>7429</v>
      </c>
      <c r="H1520" t="s">
        <v>7430</v>
      </c>
      <c r="I1520" t="s">
        <v>7431</v>
      </c>
      <c r="J1520" t="s">
        <v>26</v>
      </c>
      <c r="K1520" t="s">
        <v>86</v>
      </c>
      <c r="L1520" t="b">
        <v>1</v>
      </c>
      <c r="M1520" t="s">
        <v>7432</v>
      </c>
      <c r="N1520" t="str">
        <f>"616.7/07548"</f>
        <v>616.7/07548</v>
      </c>
      <c r="O1520" t="s">
        <v>7427</v>
      </c>
      <c r="P1520" t="b">
        <v>0</v>
      </c>
      <c r="R1520" t="str">
        <f>"9781604061796"</f>
        <v>9781604061796</v>
      </c>
      <c r="S1520" t="str">
        <f>"9781604061802"</f>
        <v>9781604061802</v>
      </c>
      <c r="T1520">
        <v>828868972</v>
      </c>
    </row>
    <row r="1521" spans="1:20" x14ac:dyDescent="0.25">
      <c r="A1521">
        <v>533794</v>
      </c>
      <c r="B1521" t="s">
        <v>7433</v>
      </c>
      <c r="C1521" t="s">
        <v>7434</v>
      </c>
      <c r="D1521" t="s">
        <v>2347</v>
      </c>
      <c r="E1521" t="s">
        <v>2348</v>
      </c>
      <c r="F1521">
        <v>2013</v>
      </c>
      <c r="G1521" t="s">
        <v>7435</v>
      </c>
      <c r="H1521" t="s">
        <v>7436</v>
      </c>
      <c r="I1521" t="s">
        <v>7437</v>
      </c>
      <c r="J1521" t="s">
        <v>26</v>
      </c>
      <c r="K1521" t="s">
        <v>27</v>
      </c>
      <c r="L1521" t="b">
        <v>1</v>
      </c>
      <c r="M1521" t="s">
        <v>7438</v>
      </c>
      <c r="N1521" t="str">
        <f>"362.29"</f>
        <v>362.29</v>
      </c>
      <c r="O1521" t="s">
        <v>5402</v>
      </c>
      <c r="P1521" t="b">
        <v>0</v>
      </c>
      <c r="R1521" t="str">
        <f>"9781555536725"</f>
        <v>9781555536725</v>
      </c>
      <c r="S1521" t="str">
        <f>"9781555538354"</f>
        <v>9781555538354</v>
      </c>
      <c r="T1521">
        <v>827210631</v>
      </c>
    </row>
    <row r="1522" spans="1:20" x14ac:dyDescent="0.25">
      <c r="A1522">
        <v>531067</v>
      </c>
      <c r="B1522" t="s">
        <v>7439</v>
      </c>
      <c r="C1522" t="s">
        <v>7440</v>
      </c>
      <c r="D1522" t="s">
        <v>240</v>
      </c>
      <c r="E1522" t="s">
        <v>1625</v>
      </c>
      <c r="F1522">
        <v>2009</v>
      </c>
      <c r="G1522" t="s">
        <v>182</v>
      </c>
      <c r="H1522" t="s">
        <v>7441</v>
      </c>
      <c r="I1522" t="s">
        <v>7442</v>
      </c>
      <c r="J1522" t="s">
        <v>26</v>
      </c>
      <c r="K1522" t="s">
        <v>27</v>
      </c>
      <c r="L1522" t="b">
        <v>1</v>
      </c>
      <c r="M1522" t="s">
        <v>7443</v>
      </c>
      <c r="N1522" t="str">
        <f>"320.54095694092"</f>
        <v>320.54095694092</v>
      </c>
      <c r="O1522" t="s">
        <v>6169</v>
      </c>
      <c r="P1522" t="b">
        <v>0</v>
      </c>
      <c r="R1522" t="str">
        <f>"9781584657361"</f>
        <v>9781584657361</v>
      </c>
      <c r="S1522" t="str">
        <f>"9781584658153"</f>
        <v>9781584658153</v>
      </c>
      <c r="T1522">
        <v>823388625</v>
      </c>
    </row>
    <row r="1523" spans="1:20" x14ac:dyDescent="0.25">
      <c r="A1523">
        <v>531063</v>
      </c>
      <c r="B1523" t="s">
        <v>7444</v>
      </c>
      <c r="C1523" t="s">
        <v>7445</v>
      </c>
      <c r="D1523" t="s">
        <v>240</v>
      </c>
      <c r="E1523" t="s">
        <v>1625</v>
      </c>
      <c r="F1523">
        <v>2009</v>
      </c>
      <c r="G1523" t="s">
        <v>57</v>
      </c>
      <c r="H1523" t="s">
        <v>7446</v>
      </c>
      <c r="I1523" t="s">
        <v>7447</v>
      </c>
      <c r="J1523" t="s">
        <v>26</v>
      </c>
      <c r="K1523" t="s">
        <v>27</v>
      </c>
      <c r="L1523" t="b">
        <v>1</v>
      </c>
      <c r="M1523" t="s">
        <v>7448</v>
      </c>
      <c r="N1523" t="str">
        <f>"616.85/21200944;616.8521200944"</f>
        <v>616.85/21200944;616.8521200944</v>
      </c>
      <c r="O1523" t="s">
        <v>6169</v>
      </c>
      <c r="P1523" t="b">
        <v>0</v>
      </c>
      <c r="R1523" t="str">
        <f>"9781584657842"</f>
        <v>9781584657842</v>
      </c>
      <c r="S1523" t="str">
        <f>"9781584658788"</f>
        <v>9781584658788</v>
      </c>
      <c r="T1523">
        <v>823388623</v>
      </c>
    </row>
    <row r="1524" spans="1:20" x14ac:dyDescent="0.25">
      <c r="A1524">
        <v>531061</v>
      </c>
      <c r="B1524" t="s">
        <v>7449</v>
      </c>
      <c r="C1524" t="s">
        <v>7450</v>
      </c>
      <c r="D1524" t="s">
        <v>240</v>
      </c>
      <c r="E1524" t="s">
        <v>1625</v>
      </c>
      <c r="F1524">
        <v>2011</v>
      </c>
      <c r="G1524" t="s">
        <v>242</v>
      </c>
      <c r="H1524" t="s">
        <v>7451</v>
      </c>
      <c r="I1524" t="s">
        <v>2600</v>
      </c>
      <c r="J1524" t="s">
        <v>26</v>
      </c>
      <c r="K1524" t="s">
        <v>27</v>
      </c>
      <c r="L1524" t="b">
        <v>1</v>
      </c>
      <c r="M1524" t="s">
        <v>7452</v>
      </c>
      <c r="N1524" t="str">
        <f>"328.73/092;B"</f>
        <v>328.73/092;B</v>
      </c>
      <c r="P1524" t="b">
        <v>0</v>
      </c>
      <c r="R1524" t="str">
        <f>"9781584659976"</f>
        <v>9781584659976</v>
      </c>
      <c r="S1524" t="str">
        <f>"9781584659983"</f>
        <v>9781584659983</v>
      </c>
      <c r="T1524">
        <v>742514621</v>
      </c>
    </row>
    <row r="1525" spans="1:20" x14ac:dyDescent="0.25">
      <c r="A1525">
        <v>531055</v>
      </c>
      <c r="B1525" t="s">
        <v>7453</v>
      </c>
      <c r="C1525" t="s">
        <v>7454</v>
      </c>
      <c r="D1525" t="s">
        <v>240</v>
      </c>
      <c r="E1525" t="s">
        <v>1625</v>
      </c>
      <c r="F1525">
        <v>2011</v>
      </c>
      <c r="G1525" t="s">
        <v>57</v>
      </c>
      <c r="H1525" t="s">
        <v>7455</v>
      </c>
      <c r="I1525" t="s">
        <v>7456</v>
      </c>
      <c r="J1525" t="s">
        <v>26</v>
      </c>
      <c r="K1525" t="s">
        <v>27</v>
      </c>
      <c r="L1525" t="b">
        <v>1</v>
      </c>
      <c r="M1525" t="s">
        <v>7457</v>
      </c>
      <c r="N1525" t="str">
        <f>"296.082"</f>
        <v>296.082</v>
      </c>
      <c r="O1525" t="s">
        <v>7458</v>
      </c>
      <c r="P1525" t="b">
        <v>0</v>
      </c>
      <c r="R1525" t="str">
        <f>"9781584659723"</f>
        <v>9781584659723</v>
      </c>
      <c r="S1525" t="str">
        <f>"9781611680119"</f>
        <v>9781611680119</v>
      </c>
      <c r="T1525">
        <v>726828637</v>
      </c>
    </row>
    <row r="1526" spans="1:20" x14ac:dyDescent="0.25">
      <c r="A1526">
        <v>530895</v>
      </c>
      <c r="B1526" t="s">
        <v>7459</v>
      </c>
      <c r="C1526" t="s">
        <v>7460</v>
      </c>
      <c r="D1526" t="s">
        <v>240</v>
      </c>
      <c r="E1526" t="s">
        <v>1625</v>
      </c>
      <c r="F1526">
        <v>2005</v>
      </c>
      <c r="G1526" t="s">
        <v>172</v>
      </c>
      <c r="H1526" t="s">
        <v>7461</v>
      </c>
      <c r="I1526" t="s">
        <v>7462</v>
      </c>
      <c r="J1526" t="s">
        <v>26</v>
      </c>
      <c r="K1526" t="s">
        <v>27</v>
      </c>
      <c r="L1526" t="b">
        <v>1</v>
      </c>
      <c r="M1526" t="s">
        <v>7463</v>
      </c>
      <c r="N1526" t="str">
        <f>"174/.4"</f>
        <v>174/.4</v>
      </c>
      <c r="P1526" t="b">
        <v>0</v>
      </c>
      <c r="R1526" t="str">
        <f>"9781584653332"</f>
        <v>9781584653332</v>
      </c>
      <c r="S1526" t="str">
        <f>"9781611684605"</f>
        <v>9781611684605</v>
      </c>
      <c r="T1526">
        <v>828925759</v>
      </c>
    </row>
    <row r="1527" spans="1:20" x14ac:dyDescent="0.25">
      <c r="A1527">
        <v>530547</v>
      </c>
      <c r="B1527" t="s">
        <v>7464</v>
      </c>
      <c r="D1527" t="s">
        <v>1364</v>
      </c>
      <c r="E1527" t="s">
        <v>1364</v>
      </c>
      <c r="F1527">
        <v>2013</v>
      </c>
      <c r="G1527" t="s">
        <v>2007</v>
      </c>
      <c r="H1527" t="s">
        <v>7465</v>
      </c>
      <c r="I1527" t="s">
        <v>7466</v>
      </c>
      <c r="J1527" t="s">
        <v>26</v>
      </c>
      <c r="K1527" t="s">
        <v>27</v>
      </c>
      <c r="L1527" t="b">
        <v>1</v>
      </c>
      <c r="M1527" t="s">
        <v>7467</v>
      </c>
      <c r="N1527" t="str">
        <f>"791.43/652924"</f>
        <v>791.43/652924</v>
      </c>
      <c r="O1527" t="s">
        <v>7468</v>
      </c>
      <c r="P1527" t="b">
        <v>0</v>
      </c>
      <c r="R1527" t="str">
        <f>"9783110265125"</f>
        <v>9783110265125</v>
      </c>
      <c r="S1527" t="str">
        <f>"9783110265132"</f>
        <v>9783110265132</v>
      </c>
      <c r="T1527">
        <v>828150142</v>
      </c>
    </row>
    <row r="1528" spans="1:20" x14ac:dyDescent="0.25">
      <c r="A1528">
        <v>530383</v>
      </c>
      <c r="B1528" t="s">
        <v>7469</v>
      </c>
      <c r="C1528" t="s">
        <v>7470</v>
      </c>
      <c r="D1528" t="s">
        <v>2238</v>
      </c>
      <c r="E1528" t="s">
        <v>2239</v>
      </c>
      <c r="F1528">
        <v>2004</v>
      </c>
      <c r="G1528" t="s">
        <v>177</v>
      </c>
      <c r="H1528" t="s">
        <v>7471</v>
      </c>
      <c r="I1528" t="s">
        <v>2646</v>
      </c>
      <c r="J1528" t="s">
        <v>26</v>
      </c>
      <c r="K1528" t="s">
        <v>27</v>
      </c>
      <c r="L1528" t="b">
        <v>1</v>
      </c>
      <c r="M1528" t="s">
        <v>7472</v>
      </c>
      <c r="N1528" t="str">
        <f>"781.1/7"</f>
        <v>781.1/7</v>
      </c>
      <c r="P1528" t="b">
        <v>0</v>
      </c>
      <c r="R1528" t="str">
        <f>"9780415943666"</f>
        <v>9780415943666</v>
      </c>
      <c r="S1528" t="str">
        <f>"9781135385408"</f>
        <v>9781135385408</v>
      </c>
      <c r="T1528">
        <v>62245784</v>
      </c>
    </row>
    <row r="1529" spans="1:20" x14ac:dyDescent="0.25">
      <c r="A1529">
        <v>530347</v>
      </c>
      <c r="B1529" t="s">
        <v>7473</v>
      </c>
      <c r="D1529" t="s">
        <v>107</v>
      </c>
      <c r="E1529" t="s">
        <v>108</v>
      </c>
      <c r="F1529">
        <v>2012</v>
      </c>
      <c r="G1529" t="s">
        <v>7474</v>
      </c>
      <c r="H1529" t="s">
        <v>7475</v>
      </c>
      <c r="I1529" t="s">
        <v>7476</v>
      </c>
      <c r="J1529" t="s">
        <v>26</v>
      </c>
      <c r="K1529" t="s">
        <v>86</v>
      </c>
      <c r="L1529" t="b">
        <v>1</v>
      </c>
      <c r="M1529" t="s">
        <v>7477</v>
      </c>
      <c r="N1529" t="str">
        <f>"551.46"</f>
        <v>551.46</v>
      </c>
      <c r="P1529" t="b">
        <v>0</v>
      </c>
      <c r="Q1529" t="b">
        <v>0</v>
      </c>
      <c r="R1529" t="str">
        <f>"9781780460017"</f>
        <v>9781780460017</v>
      </c>
      <c r="S1529" t="str">
        <f>"9781903544556"</f>
        <v>9781903544556</v>
      </c>
      <c r="T1529">
        <v>824353683</v>
      </c>
    </row>
    <row r="1530" spans="1:20" x14ac:dyDescent="0.25">
      <c r="A1530">
        <v>530346</v>
      </c>
      <c r="B1530" t="s">
        <v>7478</v>
      </c>
      <c r="C1530" t="s">
        <v>7479</v>
      </c>
      <c r="D1530" t="s">
        <v>107</v>
      </c>
      <c r="E1530" t="s">
        <v>108</v>
      </c>
      <c r="F1530">
        <v>2013</v>
      </c>
      <c r="G1530" t="s">
        <v>7480</v>
      </c>
      <c r="H1530" t="s">
        <v>7481</v>
      </c>
      <c r="I1530" t="s">
        <v>7482</v>
      </c>
      <c r="J1530" t="s">
        <v>26</v>
      </c>
      <c r="K1530" t="s">
        <v>86</v>
      </c>
      <c r="L1530" t="b">
        <v>1</v>
      </c>
      <c r="M1530" t="s">
        <v>7483</v>
      </c>
      <c r="N1530" t="str">
        <f>"362.76/7"</f>
        <v>362.76/7</v>
      </c>
      <c r="O1530" t="s">
        <v>2170</v>
      </c>
      <c r="P1530" t="b">
        <v>0</v>
      </c>
      <c r="Q1530" t="b">
        <v>0</v>
      </c>
      <c r="R1530" t="str">
        <f>"9781780460116"</f>
        <v>9781780460116</v>
      </c>
      <c r="S1530" t="str">
        <f>"9781903544600"</f>
        <v>9781903544600</v>
      </c>
      <c r="T1530">
        <v>893707292</v>
      </c>
    </row>
    <row r="1531" spans="1:20" x14ac:dyDescent="0.25">
      <c r="A1531">
        <v>528181</v>
      </c>
      <c r="B1531" t="s">
        <v>7484</v>
      </c>
      <c r="C1531" t="s">
        <v>7485</v>
      </c>
      <c r="D1531" t="s">
        <v>131</v>
      </c>
      <c r="E1531" t="s">
        <v>7010</v>
      </c>
      <c r="F1531">
        <v>2013</v>
      </c>
      <c r="G1531" t="s">
        <v>7486</v>
      </c>
      <c r="H1531" t="s">
        <v>7487</v>
      </c>
      <c r="I1531" t="s">
        <v>7488</v>
      </c>
      <c r="J1531" t="s">
        <v>26</v>
      </c>
      <c r="K1531" t="s">
        <v>86</v>
      </c>
      <c r="L1531" t="b">
        <v>1</v>
      </c>
      <c r="M1531" t="s">
        <v>7489</v>
      </c>
      <c r="N1531" t="str">
        <f>"635.0484"</f>
        <v>635.0484</v>
      </c>
      <c r="P1531" t="b">
        <v>0</v>
      </c>
      <c r="R1531" t="str">
        <f>"9781934170366"</f>
        <v>9781934170366</v>
      </c>
      <c r="S1531" t="str">
        <f>"9781934170380"</f>
        <v>9781934170380</v>
      </c>
      <c r="T1531">
        <v>818858193</v>
      </c>
    </row>
    <row r="1532" spans="1:20" x14ac:dyDescent="0.25">
      <c r="A1532">
        <v>527057</v>
      </c>
      <c r="B1532" t="s">
        <v>7490</v>
      </c>
      <c r="C1532" t="s">
        <v>7491</v>
      </c>
      <c r="D1532" t="s">
        <v>131</v>
      </c>
      <c r="E1532" t="s">
        <v>276</v>
      </c>
      <c r="F1532">
        <v>2006</v>
      </c>
      <c r="G1532" t="s">
        <v>7492</v>
      </c>
      <c r="H1532" t="s">
        <v>7493</v>
      </c>
      <c r="I1532" t="s">
        <v>7494</v>
      </c>
      <c r="J1532" t="s">
        <v>26</v>
      </c>
      <c r="K1532" t="s">
        <v>86</v>
      </c>
      <c r="L1532" t="b">
        <v>1</v>
      </c>
      <c r="M1532" t="s">
        <v>7495</v>
      </c>
      <c r="N1532" t="str">
        <f>"796.323/6409764351;B"</f>
        <v>796.323/6409764351;B</v>
      </c>
      <c r="P1532" t="b">
        <v>0</v>
      </c>
      <c r="R1532" t="str">
        <f>"9781595340436"</f>
        <v>9781595340436</v>
      </c>
      <c r="S1532" t="str">
        <f>"9781595341280"</f>
        <v>9781595341280</v>
      </c>
      <c r="T1532">
        <v>820817215</v>
      </c>
    </row>
    <row r="1533" spans="1:20" x14ac:dyDescent="0.25">
      <c r="A1533">
        <v>527056</v>
      </c>
      <c r="B1533" t="s">
        <v>7496</v>
      </c>
      <c r="C1533" t="s">
        <v>5712</v>
      </c>
      <c r="D1533" t="s">
        <v>131</v>
      </c>
      <c r="E1533" t="s">
        <v>276</v>
      </c>
      <c r="F1533">
        <v>2012</v>
      </c>
      <c r="G1533" t="s">
        <v>283</v>
      </c>
      <c r="H1533" t="s">
        <v>7497</v>
      </c>
      <c r="I1533" t="s">
        <v>7498</v>
      </c>
      <c r="J1533" t="s">
        <v>26</v>
      </c>
      <c r="K1533" t="s">
        <v>86</v>
      </c>
      <c r="L1533" t="b">
        <v>1</v>
      </c>
      <c r="M1533" t="s">
        <v>7499</v>
      </c>
      <c r="N1533" t="str">
        <f>"818.5403"</f>
        <v>818.5403</v>
      </c>
      <c r="P1533" t="b">
        <v>0</v>
      </c>
      <c r="R1533" t="str">
        <f>"9781595341365"</f>
        <v>9781595341365</v>
      </c>
      <c r="S1533" t="str">
        <f>"9781595341372"</f>
        <v>9781595341372</v>
      </c>
      <c r="T1533">
        <v>822019893</v>
      </c>
    </row>
    <row r="1534" spans="1:20" x14ac:dyDescent="0.25">
      <c r="A1534">
        <v>526847</v>
      </c>
      <c r="B1534" t="s">
        <v>7500</v>
      </c>
      <c r="C1534" t="s">
        <v>7501</v>
      </c>
      <c r="D1534" t="s">
        <v>233</v>
      </c>
      <c r="E1534" t="s">
        <v>7502</v>
      </c>
      <c r="F1534">
        <v>2007</v>
      </c>
      <c r="G1534" t="s">
        <v>7503</v>
      </c>
      <c r="H1534" t="s">
        <v>7504</v>
      </c>
      <c r="I1534" t="s">
        <v>7505</v>
      </c>
      <c r="J1534" t="s">
        <v>26</v>
      </c>
      <c r="K1534" t="s">
        <v>27</v>
      </c>
      <c r="L1534" t="b">
        <v>1</v>
      </c>
      <c r="M1534" t="s">
        <v>7506</v>
      </c>
      <c r="N1534" t="str">
        <f>"359.00973"</f>
        <v>359.00973</v>
      </c>
      <c r="P1534" t="b">
        <v>0</v>
      </c>
      <c r="R1534" t="str">
        <f>"9781591143918"</f>
        <v>9781591143918</v>
      </c>
      <c r="S1534" t="str">
        <f>"9781612510088"</f>
        <v>9781612510088</v>
      </c>
      <c r="T1534">
        <v>607881267</v>
      </c>
    </row>
    <row r="1535" spans="1:20" x14ac:dyDescent="0.25">
      <c r="A1535">
        <v>526817</v>
      </c>
      <c r="B1535" t="s">
        <v>7507</v>
      </c>
      <c r="C1535" t="s">
        <v>7508</v>
      </c>
      <c r="D1535" t="s">
        <v>233</v>
      </c>
      <c r="E1535" t="s">
        <v>7502</v>
      </c>
      <c r="F1535">
        <v>2011</v>
      </c>
      <c r="G1535" t="s">
        <v>7509</v>
      </c>
      <c r="H1535" t="s">
        <v>7510</v>
      </c>
      <c r="J1535" t="s">
        <v>26</v>
      </c>
      <c r="K1535" t="s">
        <v>27</v>
      </c>
      <c r="L1535" t="b">
        <v>1</v>
      </c>
      <c r="M1535" t="s">
        <v>7511</v>
      </c>
      <c r="N1535" t="str">
        <f>"996.9/028"</f>
        <v>996.9/028</v>
      </c>
      <c r="O1535" t="s">
        <v>7512</v>
      </c>
      <c r="P1535" t="b">
        <v>0</v>
      </c>
      <c r="R1535" t="str">
        <f>"9781591145295"</f>
        <v>9781591145295</v>
      </c>
      <c r="S1535" t="str">
        <f>"9781612510422"</f>
        <v>9781612510422</v>
      </c>
      <c r="T1535">
        <v>741492542</v>
      </c>
    </row>
    <row r="1536" spans="1:20" x14ac:dyDescent="0.25">
      <c r="A1536">
        <v>526810</v>
      </c>
      <c r="B1536" t="s">
        <v>7513</v>
      </c>
      <c r="C1536" t="s">
        <v>7514</v>
      </c>
      <c r="D1536" t="s">
        <v>233</v>
      </c>
      <c r="E1536" t="s">
        <v>7502</v>
      </c>
      <c r="F1536">
        <v>2009</v>
      </c>
      <c r="G1536" t="s">
        <v>7509</v>
      </c>
      <c r="H1536" t="s">
        <v>7515</v>
      </c>
      <c r="I1536" t="s">
        <v>7516</v>
      </c>
      <c r="J1536" t="s">
        <v>26</v>
      </c>
      <c r="K1536" t="s">
        <v>27</v>
      </c>
      <c r="L1536" t="b">
        <v>1</v>
      </c>
      <c r="M1536" t="s">
        <v>7517</v>
      </c>
      <c r="N1536" t="str">
        <f>"973.9092"</f>
        <v>973.9092</v>
      </c>
      <c r="P1536" t="b">
        <v>0</v>
      </c>
      <c r="R1536" t="str">
        <f>"9781591144236"</f>
        <v>9781591144236</v>
      </c>
      <c r="S1536" t="str">
        <f>"9781612510767"</f>
        <v>9781612510767</v>
      </c>
      <c r="T1536">
        <v>741492513</v>
      </c>
    </row>
    <row r="1537" spans="1:20" x14ac:dyDescent="0.25">
      <c r="A1537">
        <v>526808</v>
      </c>
      <c r="B1537" t="s">
        <v>7518</v>
      </c>
      <c r="C1537" t="s">
        <v>7519</v>
      </c>
      <c r="D1537" t="s">
        <v>233</v>
      </c>
      <c r="E1537" t="s">
        <v>7502</v>
      </c>
      <c r="F1537">
        <v>2011</v>
      </c>
      <c r="G1537" t="s">
        <v>7503</v>
      </c>
      <c r="H1537" t="s">
        <v>7520</v>
      </c>
      <c r="I1537" t="s">
        <v>7521</v>
      </c>
      <c r="J1537" t="s">
        <v>26</v>
      </c>
      <c r="K1537" t="s">
        <v>27</v>
      </c>
      <c r="L1537" t="b">
        <v>1</v>
      </c>
      <c r="M1537" t="s">
        <v>7522</v>
      </c>
      <c r="N1537" t="str">
        <f>"359/.03"</f>
        <v>359/.03</v>
      </c>
      <c r="P1537" t="b">
        <v>0</v>
      </c>
      <c r="R1537" t="str">
        <f>"9781591143901"</f>
        <v>9781591143901</v>
      </c>
      <c r="S1537" t="str">
        <f>"9781612510286"</f>
        <v>9781612510286</v>
      </c>
      <c r="T1537">
        <v>741491929</v>
      </c>
    </row>
    <row r="1538" spans="1:20" x14ac:dyDescent="0.25">
      <c r="A1538">
        <v>526573</v>
      </c>
      <c r="B1538" t="s">
        <v>7523</v>
      </c>
      <c r="C1538" t="s">
        <v>7524</v>
      </c>
      <c r="D1538" t="s">
        <v>2238</v>
      </c>
      <c r="E1538" t="s">
        <v>2239</v>
      </c>
      <c r="F1538">
        <v>2005</v>
      </c>
      <c r="G1538" t="s">
        <v>7525</v>
      </c>
      <c r="H1538" t="s">
        <v>7526</v>
      </c>
      <c r="I1538" t="s">
        <v>7527</v>
      </c>
      <c r="J1538" t="s">
        <v>26</v>
      </c>
      <c r="K1538" t="s">
        <v>27</v>
      </c>
      <c r="L1538" t="b">
        <v>1</v>
      </c>
      <c r="M1538" t="s">
        <v>7528</v>
      </c>
      <c r="N1538" t="str">
        <f>"792.8/2"</f>
        <v>792.8/2</v>
      </c>
      <c r="P1538" t="b">
        <v>0</v>
      </c>
      <c r="R1538" t="str">
        <f>"9780415965613"</f>
        <v>9780415965613</v>
      </c>
      <c r="S1538" t="str">
        <f>"9781136086663"</f>
        <v>9781136086663</v>
      </c>
      <c r="T1538">
        <v>825767617</v>
      </c>
    </row>
    <row r="1539" spans="1:20" x14ac:dyDescent="0.25">
      <c r="A1539">
        <v>526553</v>
      </c>
      <c r="B1539" t="s">
        <v>7529</v>
      </c>
      <c r="C1539" t="s">
        <v>7530</v>
      </c>
      <c r="D1539" t="s">
        <v>7531</v>
      </c>
      <c r="E1539" t="s">
        <v>7532</v>
      </c>
      <c r="F1539">
        <v>2012</v>
      </c>
      <c r="G1539" t="s">
        <v>804</v>
      </c>
      <c r="H1539" t="s">
        <v>7533</v>
      </c>
      <c r="I1539" t="s">
        <v>7534</v>
      </c>
      <c r="J1539" t="s">
        <v>26</v>
      </c>
      <c r="K1539" t="s">
        <v>27</v>
      </c>
      <c r="L1539" t="b">
        <v>1</v>
      </c>
      <c r="M1539" t="s">
        <v>7535</v>
      </c>
      <c r="N1539" t="str">
        <f>"306.361"</f>
        <v>306.361</v>
      </c>
      <c r="P1539" t="b">
        <v>0</v>
      </c>
      <c r="Q1539" t="b">
        <v>0</v>
      </c>
      <c r="R1539" t="str">
        <f>"9781579633431"</f>
        <v>9781579633431</v>
      </c>
      <c r="S1539" t="str">
        <f>"9781579633448"</f>
        <v>9781579633448</v>
      </c>
      <c r="T1539">
        <v>821184396</v>
      </c>
    </row>
    <row r="1540" spans="1:20" x14ac:dyDescent="0.25">
      <c r="A1540">
        <v>525780</v>
      </c>
      <c r="B1540" t="s">
        <v>7536</v>
      </c>
      <c r="D1540" t="s">
        <v>2238</v>
      </c>
      <c r="E1540" t="s">
        <v>2239</v>
      </c>
      <c r="F1540">
        <v>1997</v>
      </c>
      <c r="G1540" t="s">
        <v>197</v>
      </c>
      <c r="H1540" t="s">
        <v>7537</v>
      </c>
      <c r="J1540" t="s">
        <v>26</v>
      </c>
      <c r="K1540" t="s">
        <v>86</v>
      </c>
      <c r="L1540" t="b">
        <v>1</v>
      </c>
      <c r="M1540" t="s">
        <v>7538</v>
      </c>
      <c r="N1540" t="str">
        <f>"813.3"</f>
        <v>813.3</v>
      </c>
      <c r="O1540" t="s">
        <v>7539</v>
      </c>
      <c r="P1540" t="b">
        <v>0</v>
      </c>
      <c r="R1540" t="str">
        <f>"9780415159302"</f>
        <v>9780415159302</v>
      </c>
      <c r="S1540" t="str">
        <f>"9781134723355"</f>
        <v>9781134723355</v>
      </c>
      <c r="T1540">
        <v>824698470</v>
      </c>
    </row>
    <row r="1541" spans="1:20" x14ac:dyDescent="0.25">
      <c r="A1541">
        <v>525717</v>
      </c>
      <c r="B1541" t="s">
        <v>7540</v>
      </c>
      <c r="C1541" t="s">
        <v>7541</v>
      </c>
      <c r="D1541" t="s">
        <v>1364</v>
      </c>
      <c r="E1541" t="s">
        <v>6835</v>
      </c>
      <c r="F1541">
        <v>2012</v>
      </c>
      <c r="G1541" t="s">
        <v>2713</v>
      </c>
      <c r="H1541" t="s">
        <v>7542</v>
      </c>
      <c r="I1541" t="s">
        <v>7543</v>
      </c>
      <c r="J1541" t="s">
        <v>26</v>
      </c>
      <c r="K1541" t="s">
        <v>27</v>
      </c>
      <c r="L1541" t="b">
        <v>1</v>
      </c>
      <c r="M1541" t="s">
        <v>7544</v>
      </c>
      <c r="N1541" t="str">
        <f>"691.1"</f>
        <v>691.1</v>
      </c>
      <c r="P1541" t="b">
        <v>0</v>
      </c>
      <c r="R1541" t="str">
        <f>"9783034606851"</f>
        <v>9783034606851</v>
      </c>
      <c r="S1541" t="str">
        <f>"9783034612678"</f>
        <v>9783034612678</v>
      </c>
      <c r="T1541">
        <v>826660103</v>
      </c>
    </row>
    <row r="1542" spans="1:20" x14ac:dyDescent="0.25">
      <c r="A1542">
        <v>522451</v>
      </c>
      <c r="B1542" t="s">
        <v>7545</v>
      </c>
      <c r="C1542" t="s">
        <v>7546</v>
      </c>
      <c r="D1542" t="s">
        <v>1364</v>
      </c>
      <c r="E1542" t="s">
        <v>2275</v>
      </c>
      <c r="F1542">
        <v>2012</v>
      </c>
      <c r="G1542" t="s">
        <v>100</v>
      </c>
      <c r="H1542" t="s">
        <v>4989</v>
      </c>
      <c r="I1542" t="s">
        <v>7547</v>
      </c>
      <c r="J1542" t="s">
        <v>26</v>
      </c>
      <c r="K1542" t="s">
        <v>27</v>
      </c>
      <c r="L1542" t="b">
        <v>1</v>
      </c>
      <c r="M1542" t="s">
        <v>7548</v>
      </c>
      <c r="N1542" t="str">
        <f>"419"</f>
        <v>419</v>
      </c>
      <c r="O1542" t="s">
        <v>7549</v>
      </c>
      <c r="P1542" t="b">
        <v>0</v>
      </c>
      <c r="R1542" t="str">
        <f>"9781614512035"</f>
        <v>9781614512035</v>
      </c>
      <c r="S1542" t="str">
        <f>"9781614511496"</f>
        <v>9781614511496</v>
      </c>
      <c r="T1542">
        <v>994502315</v>
      </c>
    </row>
    <row r="1543" spans="1:20" x14ac:dyDescent="0.25">
      <c r="A1543">
        <v>522285</v>
      </c>
      <c r="B1543" t="s">
        <v>7550</v>
      </c>
      <c r="C1543" t="s">
        <v>7551</v>
      </c>
      <c r="D1543" t="s">
        <v>7552</v>
      </c>
      <c r="E1543" t="s">
        <v>7553</v>
      </c>
      <c r="F1543">
        <v>2009</v>
      </c>
      <c r="G1543" t="s">
        <v>5889</v>
      </c>
      <c r="H1543" t="s">
        <v>7554</v>
      </c>
      <c r="I1543" t="s">
        <v>7555</v>
      </c>
      <c r="J1543" t="s">
        <v>26</v>
      </c>
      <c r="K1543" t="s">
        <v>27</v>
      </c>
      <c r="L1543" t="b">
        <v>1</v>
      </c>
      <c r="M1543" t="s">
        <v>7556</v>
      </c>
      <c r="N1543" t="str">
        <f>"616.86/32061"</f>
        <v>616.86/32061</v>
      </c>
      <c r="P1543" t="b">
        <v>0</v>
      </c>
      <c r="Q1543" t="b">
        <v>0</v>
      </c>
      <c r="R1543" t="str">
        <f>"9780888688200"</f>
        <v>9780888688200</v>
      </c>
      <c r="S1543" t="str">
        <f>"9780888688217"</f>
        <v>9780888688217</v>
      </c>
      <c r="T1543">
        <v>759157212</v>
      </c>
    </row>
    <row r="1544" spans="1:20" x14ac:dyDescent="0.25">
      <c r="A1544">
        <v>522283</v>
      </c>
      <c r="B1544" t="s">
        <v>7550</v>
      </c>
      <c r="C1544" t="s">
        <v>7557</v>
      </c>
      <c r="D1544" t="s">
        <v>7552</v>
      </c>
      <c r="E1544" t="s">
        <v>7553</v>
      </c>
      <c r="F1544">
        <v>2009</v>
      </c>
      <c r="G1544" t="s">
        <v>5889</v>
      </c>
      <c r="H1544" t="s">
        <v>7558</v>
      </c>
      <c r="I1544" t="s">
        <v>7559</v>
      </c>
      <c r="J1544" t="s">
        <v>26</v>
      </c>
      <c r="K1544" t="s">
        <v>27</v>
      </c>
      <c r="L1544" t="b">
        <v>1</v>
      </c>
      <c r="M1544" t="s">
        <v>7560</v>
      </c>
      <c r="N1544" t="str">
        <f>"616.86/32061"</f>
        <v>616.86/32061</v>
      </c>
      <c r="P1544" t="b">
        <v>0</v>
      </c>
      <c r="Q1544" t="b">
        <v>0</v>
      </c>
      <c r="R1544" t="str">
        <f>"9781770523029"</f>
        <v>9781770523029</v>
      </c>
      <c r="S1544" t="str">
        <f>"9781770523036"</f>
        <v>9781770523036</v>
      </c>
      <c r="T1544">
        <v>759157320</v>
      </c>
    </row>
    <row r="1545" spans="1:20" x14ac:dyDescent="0.25">
      <c r="A1545">
        <v>521541</v>
      </c>
      <c r="B1545" t="s">
        <v>7561</v>
      </c>
      <c r="D1545" t="s">
        <v>644</v>
      </c>
      <c r="E1545" t="s">
        <v>3897</v>
      </c>
      <c r="F1545">
        <v>2012</v>
      </c>
      <c r="G1545" t="s">
        <v>3946</v>
      </c>
      <c r="H1545" t="s">
        <v>7562</v>
      </c>
      <c r="I1545" t="s">
        <v>7563</v>
      </c>
      <c r="J1545" t="s">
        <v>26</v>
      </c>
      <c r="K1545" t="s">
        <v>27</v>
      </c>
      <c r="L1545" t="b">
        <v>1</v>
      </c>
      <c r="M1545" t="s">
        <v>7564</v>
      </c>
      <c r="N1545" t="str">
        <f>"808/.042071173"</f>
        <v>808/.042071173</v>
      </c>
      <c r="O1545" t="s">
        <v>3993</v>
      </c>
      <c r="P1545" t="b">
        <v>0</v>
      </c>
      <c r="Q1545" t="b">
        <v>0</v>
      </c>
      <c r="R1545" t="str">
        <f>"9781602352964"</f>
        <v>9781602352964</v>
      </c>
      <c r="S1545" t="str">
        <f>"9781602352988"</f>
        <v>9781602352988</v>
      </c>
      <c r="T1545">
        <v>828189807</v>
      </c>
    </row>
    <row r="1546" spans="1:20" x14ac:dyDescent="0.25">
      <c r="A1546">
        <v>521540</v>
      </c>
      <c r="B1546" t="s">
        <v>7565</v>
      </c>
      <c r="C1546" t="s">
        <v>7566</v>
      </c>
      <c r="D1546" t="s">
        <v>644</v>
      </c>
      <c r="E1546" t="s">
        <v>3897</v>
      </c>
      <c r="F1546">
        <v>2009</v>
      </c>
      <c r="G1546" t="s">
        <v>7567</v>
      </c>
      <c r="H1546" t="s">
        <v>7568</v>
      </c>
      <c r="I1546" t="s">
        <v>7569</v>
      </c>
      <c r="J1546" t="s">
        <v>26</v>
      </c>
      <c r="K1546" t="s">
        <v>86</v>
      </c>
      <c r="L1546" t="b">
        <v>1</v>
      </c>
      <c r="M1546" t="s">
        <v>7570</v>
      </c>
      <c r="N1546" t="str">
        <f>"823/.2"</f>
        <v>823/.2</v>
      </c>
      <c r="O1546" t="s">
        <v>7571</v>
      </c>
      <c r="P1546" t="b">
        <v>1</v>
      </c>
      <c r="Q1546" t="b">
        <v>0</v>
      </c>
      <c r="R1546" t="str">
        <f>"9781602351035"</f>
        <v>9781602351035</v>
      </c>
      <c r="S1546" t="str">
        <f>"9781602351059"</f>
        <v>9781602351059</v>
      </c>
      <c r="T1546">
        <v>760530740</v>
      </c>
    </row>
    <row r="1547" spans="1:20" x14ac:dyDescent="0.25">
      <c r="A1547">
        <v>518378</v>
      </c>
      <c r="B1547" t="s">
        <v>7572</v>
      </c>
      <c r="C1547" t="s">
        <v>7573</v>
      </c>
      <c r="D1547" t="s">
        <v>226</v>
      </c>
      <c r="E1547" t="s">
        <v>226</v>
      </c>
      <c r="F1547">
        <v>2008</v>
      </c>
      <c r="G1547" t="s">
        <v>2949</v>
      </c>
      <c r="H1547" t="s">
        <v>7574</v>
      </c>
      <c r="I1547" t="s">
        <v>7575</v>
      </c>
      <c r="J1547" t="s">
        <v>26</v>
      </c>
      <c r="K1547" t="s">
        <v>27</v>
      </c>
      <c r="L1547" t="b">
        <v>1</v>
      </c>
      <c r="M1547" t="s">
        <v>7576</v>
      </c>
      <c r="N1547" t="str">
        <f>"712.09773/11"</f>
        <v>712.09773/11</v>
      </c>
      <c r="P1547" t="b">
        <v>0</v>
      </c>
      <c r="Q1547" t="b">
        <v>0</v>
      </c>
      <c r="R1547" t="str">
        <f>"9780226502342"</f>
        <v>9780226502342</v>
      </c>
      <c r="S1547" t="str">
        <f>"9780226502366"</f>
        <v>9780226502366</v>
      </c>
      <c r="T1547">
        <v>823504918</v>
      </c>
    </row>
    <row r="1548" spans="1:20" x14ac:dyDescent="0.25">
      <c r="A1548">
        <v>516007</v>
      </c>
      <c r="B1548" t="s">
        <v>7577</v>
      </c>
      <c r="C1548" t="s">
        <v>7578</v>
      </c>
      <c r="D1548" t="s">
        <v>131</v>
      </c>
      <c r="E1548" t="s">
        <v>7579</v>
      </c>
      <c r="F1548">
        <v>2011</v>
      </c>
      <c r="G1548" t="s">
        <v>4114</v>
      </c>
      <c r="H1548" t="s">
        <v>7580</v>
      </c>
      <c r="I1548" t="s">
        <v>7581</v>
      </c>
      <c r="J1548" t="s">
        <v>26</v>
      </c>
      <c r="K1548" t="s">
        <v>86</v>
      </c>
      <c r="L1548" t="b">
        <v>1</v>
      </c>
      <c r="M1548" t="s">
        <v>7582</v>
      </c>
      <c r="N1548" t="str">
        <f>"363.450973"</f>
        <v>363.450973</v>
      </c>
      <c r="O1548" t="s">
        <v>7583</v>
      </c>
      <c r="P1548" t="b">
        <v>0</v>
      </c>
      <c r="R1548" t="str">
        <f>"9781933693941"</f>
        <v>9781933693941</v>
      </c>
      <c r="S1548" t="str">
        <f>"9781935955368"</f>
        <v>9781935955368</v>
      </c>
      <c r="T1548">
        <v>769344193</v>
      </c>
    </row>
    <row r="1549" spans="1:20" x14ac:dyDescent="0.25">
      <c r="A1549">
        <v>513657</v>
      </c>
      <c r="B1549" t="s">
        <v>7584</v>
      </c>
      <c r="D1549" t="s">
        <v>2020</v>
      </c>
      <c r="E1549" t="s">
        <v>2021</v>
      </c>
      <c r="F1549">
        <v>2013</v>
      </c>
      <c r="G1549" t="s">
        <v>149</v>
      </c>
      <c r="H1549" t="s">
        <v>7585</v>
      </c>
      <c r="I1549" t="s">
        <v>7586</v>
      </c>
      <c r="J1549" t="s">
        <v>26</v>
      </c>
      <c r="K1549" t="s">
        <v>86</v>
      </c>
      <c r="L1549" t="b">
        <v>1</v>
      </c>
      <c r="M1549" t="s">
        <v>7587</v>
      </c>
      <c r="N1549" t="str">
        <f>"610.73076"</f>
        <v>610.73076</v>
      </c>
      <c r="P1549" t="b">
        <v>0</v>
      </c>
      <c r="R1549" t="str">
        <f>"9780826171177"</f>
        <v>9780826171177</v>
      </c>
      <c r="S1549" t="str">
        <f>"9780826171184"</f>
        <v>9780826171184</v>
      </c>
      <c r="T1549">
        <v>823726151</v>
      </c>
    </row>
    <row r="1550" spans="1:20" x14ac:dyDescent="0.25">
      <c r="A1550">
        <v>512739</v>
      </c>
      <c r="B1550" t="s">
        <v>7588</v>
      </c>
      <c r="C1550" t="s">
        <v>7589</v>
      </c>
      <c r="D1550" t="s">
        <v>7590</v>
      </c>
      <c r="E1550" t="s">
        <v>7591</v>
      </c>
      <c r="F1550">
        <v>2012</v>
      </c>
      <c r="G1550" t="s">
        <v>7592</v>
      </c>
      <c r="H1550" t="s">
        <v>7593</v>
      </c>
      <c r="I1550" t="s">
        <v>7594</v>
      </c>
      <c r="J1550" t="s">
        <v>26</v>
      </c>
      <c r="K1550" t="s">
        <v>27</v>
      </c>
      <c r="L1550" t="b">
        <v>1</v>
      </c>
      <c r="M1550" t="s">
        <v>7595</v>
      </c>
      <c r="N1550" t="str">
        <f>"025.04252"</f>
        <v>025.04252</v>
      </c>
      <c r="P1550" t="b">
        <v>0</v>
      </c>
      <c r="S1550" t="str">
        <f>"9781461918103"</f>
        <v>9781461918103</v>
      </c>
      <c r="T1550">
        <v>825768035</v>
      </c>
    </row>
    <row r="1551" spans="1:20" x14ac:dyDescent="0.25">
      <c r="A1551">
        <v>511511</v>
      </c>
      <c r="B1551" t="s">
        <v>7596</v>
      </c>
      <c r="D1551" t="s">
        <v>7597</v>
      </c>
      <c r="E1551" t="s">
        <v>7598</v>
      </c>
      <c r="F1551">
        <v>2009</v>
      </c>
      <c r="G1551" t="s">
        <v>7599</v>
      </c>
      <c r="H1551" t="s">
        <v>7600</v>
      </c>
      <c r="I1551" t="s">
        <v>7601</v>
      </c>
      <c r="J1551" t="s">
        <v>26</v>
      </c>
      <c r="K1551" t="s">
        <v>27</v>
      </c>
      <c r="L1551" t="b">
        <v>1</v>
      </c>
      <c r="M1551" t="s">
        <v>7602</v>
      </c>
      <c r="N1551" t="str">
        <f>"618.928588"</f>
        <v>618.928588</v>
      </c>
      <c r="P1551" t="b">
        <v>0</v>
      </c>
      <c r="Q1551" t="b">
        <v>0</v>
      </c>
      <c r="R1551" t="str">
        <f>"9781898683605"</f>
        <v>9781898683605</v>
      </c>
      <c r="S1551" t="str">
        <f>"9781908316127"</f>
        <v>9781908316127</v>
      </c>
      <c r="T1551">
        <v>826660638</v>
      </c>
    </row>
    <row r="1552" spans="1:20" x14ac:dyDescent="0.25">
      <c r="A1552">
        <v>511501</v>
      </c>
      <c r="B1552" t="s">
        <v>7603</v>
      </c>
      <c r="D1552" t="s">
        <v>7597</v>
      </c>
      <c r="E1552" t="s">
        <v>7598</v>
      </c>
      <c r="F1552">
        <v>2009</v>
      </c>
      <c r="G1552" t="s">
        <v>7599</v>
      </c>
      <c r="H1552" t="s">
        <v>7604</v>
      </c>
      <c r="I1552" t="s">
        <v>7605</v>
      </c>
      <c r="J1552" t="s">
        <v>26</v>
      </c>
      <c r="K1552" t="s">
        <v>27</v>
      </c>
      <c r="L1552" t="b">
        <v>1</v>
      </c>
      <c r="M1552" t="s">
        <v>7606</v>
      </c>
      <c r="N1552" t="str">
        <f>"618.9280475"</f>
        <v>618.9280475</v>
      </c>
      <c r="O1552" t="s">
        <v>7607</v>
      </c>
      <c r="P1552" t="b">
        <v>0</v>
      </c>
      <c r="Q1552" t="b">
        <v>0</v>
      </c>
      <c r="R1552" t="str">
        <f>"9781898683698"</f>
        <v>9781898683698</v>
      </c>
      <c r="S1552" t="str">
        <f>"9781898683964"</f>
        <v>9781898683964</v>
      </c>
      <c r="T1552">
        <v>822894070</v>
      </c>
    </row>
    <row r="1553" spans="1:20" x14ac:dyDescent="0.25">
      <c r="A1553">
        <v>511500</v>
      </c>
      <c r="B1553" t="s">
        <v>7608</v>
      </c>
      <c r="D1553" t="s">
        <v>7597</v>
      </c>
      <c r="E1553" t="s">
        <v>7598</v>
      </c>
      <c r="F1553">
        <v>2009</v>
      </c>
      <c r="G1553" t="s">
        <v>7599</v>
      </c>
      <c r="H1553" t="s">
        <v>7609</v>
      </c>
      <c r="I1553" t="s">
        <v>7610</v>
      </c>
      <c r="J1553" t="s">
        <v>26</v>
      </c>
      <c r="K1553" t="s">
        <v>27</v>
      </c>
      <c r="L1553" t="b">
        <v>1</v>
      </c>
      <c r="M1553" t="s">
        <v>7611</v>
      </c>
      <c r="N1553" t="str">
        <f>"618.928"</f>
        <v>618.928</v>
      </c>
      <c r="O1553" t="s">
        <v>7607</v>
      </c>
      <c r="P1553" t="b">
        <v>0</v>
      </c>
      <c r="Q1553" t="b">
        <v>0</v>
      </c>
      <c r="R1553" t="str">
        <f>"9781898683599"</f>
        <v>9781898683599</v>
      </c>
      <c r="S1553" t="str">
        <f>"9781898683926"</f>
        <v>9781898683926</v>
      </c>
      <c r="T1553">
        <v>761341287</v>
      </c>
    </row>
    <row r="1554" spans="1:20" x14ac:dyDescent="0.25">
      <c r="A1554">
        <v>511499</v>
      </c>
      <c r="B1554" t="s">
        <v>7612</v>
      </c>
      <c r="D1554" t="s">
        <v>7597</v>
      </c>
      <c r="E1554" t="s">
        <v>7598</v>
      </c>
      <c r="F1554">
        <v>2009</v>
      </c>
      <c r="G1554" t="s">
        <v>155</v>
      </c>
      <c r="H1554" t="s">
        <v>7613</v>
      </c>
      <c r="I1554" t="s">
        <v>7614</v>
      </c>
      <c r="J1554" t="s">
        <v>26</v>
      </c>
      <c r="K1554" t="s">
        <v>27</v>
      </c>
      <c r="L1554" t="b">
        <v>1</v>
      </c>
      <c r="M1554" t="s">
        <v>7615</v>
      </c>
      <c r="N1554" t="str">
        <f>"618.92836"</f>
        <v>618.92836</v>
      </c>
      <c r="O1554" t="s">
        <v>7607</v>
      </c>
      <c r="P1554" t="b">
        <v>0</v>
      </c>
      <c r="Q1554" t="b">
        <v>0</v>
      </c>
      <c r="R1554" t="str">
        <f>"9781898683650"</f>
        <v>9781898683650</v>
      </c>
      <c r="S1554" t="str">
        <f>"9781898683902"</f>
        <v>9781898683902</v>
      </c>
      <c r="T1554">
        <v>820011463</v>
      </c>
    </row>
    <row r="1555" spans="1:20" x14ac:dyDescent="0.25">
      <c r="A1555">
        <v>511498</v>
      </c>
      <c r="B1555" t="s">
        <v>7616</v>
      </c>
      <c r="C1555" t="s">
        <v>7617</v>
      </c>
      <c r="D1555" t="s">
        <v>7597</v>
      </c>
      <c r="E1555" t="s">
        <v>7598</v>
      </c>
      <c r="F1555">
        <v>2008</v>
      </c>
      <c r="G1555" t="s">
        <v>5299</v>
      </c>
      <c r="H1555" t="s">
        <v>7618</v>
      </c>
      <c r="I1555" t="s">
        <v>7619</v>
      </c>
      <c r="J1555" t="s">
        <v>26</v>
      </c>
      <c r="K1555" t="s">
        <v>27</v>
      </c>
      <c r="L1555" t="b">
        <v>1</v>
      </c>
      <c r="M1555" t="s">
        <v>7620</v>
      </c>
      <c r="N1555" t="str">
        <f>"618.927"</f>
        <v>618.927</v>
      </c>
      <c r="O1555" t="s">
        <v>7607</v>
      </c>
      <c r="P1555" t="b">
        <v>0</v>
      </c>
      <c r="Q1555" t="b">
        <v>0</v>
      </c>
      <c r="R1555" t="str">
        <f>"9781898683575"</f>
        <v>9781898683575</v>
      </c>
      <c r="S1555" t="str">
        <f>"9781898683858"</f>
        <v>9781898683858</v>
      </c>
      <c r="T1555">
        <v>827890402</v>
      </c>
    </row>
    <row r="1556" spans="1:20" x14ac:dyDescent="0.25">
      <c r="A1556">
        <v>511497</v>
      </c>
      <c r="B1556" t="s">
        <v>7621</v>
      </c>
      <c r="C1556" t="s">
        <v>7622</v>
      </c>
      <c r="D1556" t="s">
        <v>7597</v>
      </c>
      <c r="E1556" t="s">
        <v>7598</v>
      </c>
      <c r="F1556">
        <v>2008</v>
      </c>
      <c r="G1556" t="s">
        <v>7599</v>
      </c>
      <c r="H1556" t="s">
        <v>7623</v>
      </c>
      <c r="I1556" t="s">
        <v>7624</v>
      </c>
      <c r="J1556" t="s">
        <v>26</v>
      </c>
      <c r="K1556" t="s">
        <v>27</v>
      </c>
      <c r="L1556" t="b">
        <v>1</v>
      </c>
      <c r="M1556" t="s">
        <v>7625</v>
      </c>
      <c r="N1556" t="str">
        <f>"618.92836"</f>
        <v>618.92836</v>
      </c>
      <c r="O1556" t="s">
        <v>7607</v>
      </c>
      <c r="P1556" t="b">
        <v>0</v>
      </c>
      <c r="Q1556" t="b">
        <v>0</v>
      </c>
      <c r="R1556" t="str">
        <f>"9781898683537"</f>
        <v>9781898683537</v>
      </c>
      <c r="S1556" t="str">
        <f>"9781898683841"</f>
        <v>9781898683841</v>
      </c>
      <c r="T1556">
        <v>826658104</v>
      </c>
    </row>
    <row r="1557" spans="1:20" x14ac:dyDescent="0.25">
      <c r="A1557">
        <v>511496</v>
      </c>
      <c r="B1557" t="s">
        <v>7626</v>
      </c>
      <c r="D1557" t="s">
        <v>7597</v>
      </c>
      <c r="E1557" t="s">
        <v>7598</v>
      </c>
      <c r="F1557">
        <v>2008</v>
      </c>
      <c r="G1557" t="s">
        <v>7627</v>
      </c>
      <c r="H1557" t="s">
        <v>7628</v>
      </c>
      <c r="I1557" t="s">
        <v>7629</v>
      </c>
      <c r="J1557" t="s">
        <v>26</v>
      </c>
      <c r="K1557" t="s">
        <v>27</v>
      </c>
      <c r="L1557" t="b">
        <v>1</v>
      </c>
      <c r="M1557" t="s">
        <v>7630</v>
      </c>
      <c r="N1557" t="str">
        <f>"616.853"</f>
        <v>616.853</v>
      </c>
      <c r="O1557" t="s">
        <v>7607</v>
      </c>
      <c r="P1557" t="b">
        <v>0</v>
      </c>
      <c r="Q1557" t="b">
        <v>0</v>
      </c>
      <c r="R1557" t="str">
        <f>"9781898683551"</f>
        <v>9781898683551</v>
      </c>
      <c r="S1557" t="str">
        <f>"9781898683834"</f>
        <v>9781898683834</v>
      </c>
      <c r="T1557">
        <v>830863243</v>
      </c>
    </row>
    <row r="1558" spans="1:20" x14ac:dyDescent="0.25">
      <c r="A1558">
        <v>511492</v>
      </c>
      <c r="B1558" t="s">
        <v>7631</v>
      </c>
      <c r="C1558" t="s">
        <v>7632</v>
      </c>
      <c r="D1558" t="s">
        <v>7597</v>
      </c>
      <c r="E1558" t="s">
        <v>7598</v>
      </c>
      <c r="F1558">
        <v>2007</v>
      </c>
      <c r="G1558" t="s">
        <v>7633</v>
      </c>
      <c r="H1558" t="s">
        <v>7634</v>
      </c>
      <c r="I1558" t="s">
        <v>7635</v>
      </c>
      <c r="J1558" t="s">
        <v>26</v>
      </c>
      <c r="K1558" t="s">
        <v>27</v>
      </c>
      <c r="L1558" t="b">
        <v>1</v>
      </c>
      <c r="M1558" t="s">
        <v>7636</v>
      </c>
      <c r="N1558" t="str">
        <f>"618.92/8589"</f>
        <v>618.92/8589</v>
      </c>
      <c r="O1558" t="s">
        <v>7607</v>
      </c>
      <c r="P1558" t="b">
        <v>0</v>
      </c>
      <c r="Q1558" t="b">
        <v>0</v>
      </c>
      <c r="R1558" t="str">
        <f>"9781898683469"</f>
        <v>9781898683469</v>
      </c>
      <c r="S1558" t="str">
        <f>"9781898683780"</f>
        <v>9781898683780</v>
      </c>
      <c r="T1558">
        <v>826660648</v>
      </c>
    </row>
    <row r="1559" spans="1:20" x14ac:dyDescent="0.25">
      <c r="A1559">
        <v>511489</v>
      </c>
      <c r="B1559" t="s">
        <v>7637</v>
      </c>
      <c r="D1559" t="s">
        <v>7597</v>
      </c>
      <c r="E1559" t="s">
        <v>7598</v>
      </c>
      <c r="F1559">
        <v>2008</v>
      </c>
      <c r="G1559" t="s">
        <v>7599</v>
      </c>
      <c r="H1559" t="s">
        <v>7638</v>
      </c>
      <c r="I1559" t="s">
        <v>7639</v>
      </c>
      <c r="J1559" t="s">
        <v>26</v>
      </c>
      <c r="K1559" t="s">
        <v>27</v>
      </c>
      <c r="L1559" t="b">
        <v>1</v>
      </c>
      <c r="M1559" t="s">
        <v>7640</v>
      </c>
      <c r="N1559" t="str">
        <f>"618.92836075"</f>
        <v>618.92836075</v>
      </c>
      <c r="O1559" t="s">
        <v>7607</v>
      </c>
      <c r="P1559" t="b">
        <v>0</v>
      </c>
      <c r="Q1559" t="b">
        <v>0</v>
      </c>
      <c r="R1559" t="str">
        <f>"9781898683407"</f>
        <v>9781898683407</v>
      </c>
      <c r="S1559" t="str">
        <f>"9781898683742"</f>
        <v>9781898683742</v>
      </c>
      <c r="T1559">
        <v>840699322</v>
      </c>
    </row>
    <row r="1560" spans="1:20" x14ac:dyDescent="0.25">
      <c r="A1560">
        <v>509179</v>
      </c>
      <c r="B1560" t="s">
        <v>7641</v>
      </c>
      <c r="C1560" t="s">
        <v>7642</v>
      </c>
      <c r="D1560" t="s">
        <v>5501</v>
      </c>
      <c r="E1560" t="s">
        <v>5502</v>
      </c>
      <c r="F1560">
        <v>2011</v>
      </c>
      <c r="G1560" t="s">
        <v>3748</v>
      </c>
      <c r="H1560" t="s">
        <v>7643</v>
      </c>
      <c r="I1560" t="s">
        <v>7644</v>
      </c>
      <c r="J1560" t="s">
        <v>26</v>
      </c>
      <c r="K1560" t="s">
        <v>86</v>
      </c>
      <c r="L1560" t="b">
        <v>1</v>
      </c>
      <c r="M1560" t="s">
        <v>7645</v>
      </c>
      <c r="N1560" t="str">
        <f>"909"</f>
        <v>909</v>
      </c>
      <c r="P1560" t="b">
        <v>0</v>
      </c>
      <c r="R1560" t="str">
        <f>"9781442213876"</f>
        <v>9781442213876</v>
      </c>
      <c r="S1560" t="str">
        <f>"9781442213890"</f>
        <v>9781442213890</v>
      </c>
      <c r="T1560">
        <v>823170159</v>
      </c>
    </row>
    <row r="1561" spans="1:20" x14ac:dyDescent="0.25">
      <c r="A1561">
        <v>508970</v>
      </c>
      <c r="B1561" t="s">
        <v>7646</v>
      </c>
      <c r="C1561" t="s">
        <v>7647</v>
      </c>
      <c r="D1561" t="s">
        <v>2143</v>
      </c>
      <c r="E1561" t="s">
        <v>2143</v>
      </c>
      <c r="F1561">
        <v>2000</v>
      </c>
      <c r="G1561" t="s">
        <v>2145</v>
      </c>
      <c r="H1561" t="s">
        <v>7648</v>
      </c>
      <c r="I1561" t="s">
        <v>7649</v>
      </c>
      <c r="J1561" t="s">
        <v>26</v>
      </c>
      <c r="K1561" t="s">
        <v>27</v>
      </c>
      <c r="L1561" t="b">
        <v>1</v>
      </c>
      <c r="M1561" t="s">
        <v>7650</v>
      </c>
      <c r="N1561" t="str">
        <f>"150.195"</f>
        <v>150.195</v>
      </c>
      <c r="P1561" t="b">
        <v>0</v>
      </c>
      <c r="R1561" t="str">
        <f>"9781892746733"</f>
        <v>9781892746733</v>
      </c>
      <c r="S1561" t="str">
        <f>"9781782410386"</f>
        <v>9781782410386</v>
      </c>
      <c r="T1561">
        <v>823170618</v>
      </c>
    </row>
    <row r="1562" spans="1:20" x14ac:dyDescent="0.25">
      <c r="A1562">
        <v>508856</v>
      </c>
      <c r="B1562" t="s">
        <v>7651</v>
      </c>
      <c r="D1562" t="s">
        <v>2238</v>
      </c>
      <c r="E1562" t="s">
        <v>7652</v>
      </c>
      <c r="F1562">
        <v>2010</v>
      </c>
      <c r="G1562" t="s">
        <v>7653</v>
      </c>
      <c r="H1562" t="s">
        <v>7654</v>
      </c>
      <c r="I1562" t="s">
        <v>7655</v>
      </c>
      <c r="J1562" t="s">
        <v>26</v>
      </c>
      <c r="K1562" t="s">
        <v>27</v>
      </c>
      <c r="L1562" t="b">
        <v>1</v>
      </c>
      <c r="M1562" t="s">
        <v>7656</v>
      </c>
      <c r="N1562" t="str">
        <f>"951"</f>
        <v>951</v>
      </c>
      <c r="O1562" t="s">
        <v>7657</v>
      </c>
      <c r="P1562" t="b">
        <v>0</v>
      </c>
      <c r="T1562">
        <v>715189963</v>
      </c>
    </row>
    <row r="1563" spans="1:20" x14ac:dyDescent="0.25">
      <c r="A1563">
        <v>508650</v>
      </c>
      <c r="B1563" t="s">
        <v>7658</v>
      </c>
      <c r="C1563" t="s">
        <v>7659</v>
      </c>
      <c r="D1563" t="s">
        <v>2238</v>
      </c>
      <c r="E1563" t="s">
        <v>7652</v>
      </c>
      <c r="F1563">
        <v>2010</v>
      </c>
      <c r="G1563" t="s">
        <v>7660</v>
      </c>
      <c r="H1563" t="s">
        <v>7661</v>
      </c>
      <c r="J1563" t="s">
        <v>26</v>
      </c>
      <c r="K1563" t="s">
        <v>27</v>
      </c>
      <c r="L1563" t="b">
        <v>1</v>
      </c>
      <c r="M1563" t="s">
        <v>7662</v>
      </c>
      <c r="N1563" t="str">
        <f>"975.5/01/08"</f>
        <v>975.5/01/08</v>
      </c>
      <c r="O1563" t="s">
        <v>7658</v>
      </c>
      <c r="P1563" t="b">
        <v>0</v>
      </c>
      <c r="T1563">
        <v>754714947</v>
      </c>
    </row>
    <row r="1564" spans="1:20" x14ac:dyDescent="0.25">
      <c r="A1564">
        <v>508640</v>
      </c>
      <c r="B1564" t="s">
        <v>7663</v>
      </c>
      <c r="C1564" t="s">
        <v>7664</v>
      </c>
      <c r="D1564" t="s">
        <v>2238</v>
      </c>
      <c r="E1564" t="s">
        <v>7652</v>
      </c>
      <c r="F1564">
        <v>2010</v>
      </c>
      <c r="G1564" t="s">
        <v>7665</v>
      </c>
      <c r="H1564" t="s">
        <v>7666</v>
      </c>
      <c r="J1564" t="s">
        <v>26</v>
      </c>
      <c r="K1564" t="s">
        <v>27</v>
      </c>
      <c r="L1564" t="b">
        <v>1</v>
      </c>
      <c r="M1564" t="s">
        <v>7667</v>
      </c>
      <c r="N1564" t="str">
        <f>"919.04"</f>
        <v>919.04</v>
      </c>
      <c r="O1564" t="s">
        <v>7668</v>
      </c>
      <c r="P1564" t="b">
        <v>0</v>
      </c>
      <c r="S1564" t="str">
        <f>"9781409417316"</f>
        <v>9781409417316</v>
      </c>
      <c r="T1564">
        <v>829300731</v>
      </c>
    </row>
    <row r="1565" spans="1:20" x14ac:dyDescent="0.25">
      <c r="A1565">
        <v>508167</v>
      </c>
      <c r="B1565" t="s">
        <v>7669</v>
      </c>
      <c r="C1565" t="s">
        <v>7670</v>
      </c>
      <c r="D1565" t="s">
        <v>2238</v>
      </c>
      <c r="E1565" t="s">
        <v>7652</v>
      </c>
      <c r="F1565">
        <v>2010</v>
      </c>
      <c r="G1565" t="s">
        <v>7671</v>
      </c>
      <c r="H1565" t="s">
        <v>7672</v>
      </c>
      <c r="I1565" t="s">
        <v>7673</v>
      </c>
      <c r="J1565" t="s">
        <v>26</v>
      </c>
      <c r="K1565" t="s">
        <v>27</v>
      </c>
      <c r="L1565" t="b">
        <v>1</v>
      </c>
      <c r="M1565" t="s">
        <v>7674</v>
      </c>
      <c r="N1565" t="str">
        <f>"910.4"</f>
        <v>910.4</v>
      </c>
      <c r="O1565" t="s">
        <v>7675</v>
      </c>
      <c r="P1565" t="b">
        <v>0</v>
      </c>
      <c r="R1565" t="str">
        <f>"9781409414766"</f>
        <v>9781409414766</v>
      </c>
      <c r="T1565">
        <v>827273058</v>
      </c>
    </row>
    <row r="1566" spans="1:20" x14ac:dyDescent="0.25">
      <c r="A1566">
        <v>508158</v>
      </c>
      <c r="B1566" t="s">
        <v>7676</v>
      </c>
      <c r="C1566" t="s">
        <v>7677</v>
      </c>
      <c r="D1566" t="s">
        <v>2238</v>
      </c>
      <c r="E1566" t="s">
        <v>7652</v>
      </c>
      <c r="F1566">
        <v>1953</v>
      </c>
      <c r="G1566" t="s">
        <v>7678</v>
      </c>
      <c r="H1566" t="s">
        <v>7679</v>
      </c>
      <c r="I1566" t="s">
        <v>7680</v>
      </c>
      <c r="J1566" t="s">
        <v>26</v>
      </c>
      <c r="K1566" t="s">
        <v>27</v>
      </c>
      <c r="L1566" t="b">
        <v>1</v>
      </c>
      <c r="M1566" t="s">
        <v>7681</v>
      </c>
      <c r="N1566" t="str">
        <f>"910.4"</f>
        <v>910.4</v>
      </c>
      <c r="O1566" t="s">
        <v>7668</v>
      </c>
      <c r="P1566" t="b">
        <v>0</v>
      </c>
      <c r="T1566">
        <v>732957619</v>
      </c>
    </row>
    <row r="1567" spans="1:20" x14ac:dyDescent="0.25">
      <c r="A1567">
        <v>508145</v>
      </c>
      <c r="B1567" t="s">
        <v>7682</v>
      </c>
      <c r="C1567" t="s">
        <v>7683</v>
      </c>
      <c r="D1567" t="s">
        <v>2238</v>
      </c>
      <c r="E1567" t="s">
        <v>7652</v>
      </c>
      <c r="F1567">
        <v>2010</v>
      </c>
      <c r="G1567" t="s">
        <v>7665</v>
      </c>
      <c r="H1567" t="s">
        <v>7684</v>
      </c>
      <c r="I1567" t="s">
        <v>7685</v>
      </c>
      <c r="J1567" t="s">
        <v>26</v>
      </c>
      <c r="K1567" t="s">
        <v>27</v>
      </c>
      <c r="L1567" t="b">
        <v>1</v>
      </c>
      <c r="M1567" t="s">
        <v>7686</v>
      </c>
      <c r="N1567" t="str">
        <f>"325.3469"</f>
        <v>325.3469</v>
      </c>
      <c r="O1567" t="s">
        <v>7668</v>
      </c>
      <c r="P1567" t="b">
        <v>0</v>
      </c>
      <c r="R1567" t="str">
        <f>"9781409414544"</f>
        <v>9781409414544</v>
      </c>
      <c r="T1567">
        <v>726829451</v>
      </c>
    </row>
    <row r="1568" spans="1:20" x14ac:dyDescent="0.25">
      <c r="A1568">
        <v>508135</v>
      </c>
      <c r="B1568" t="s">
        <v>7687</v>
      </c>
      <c r="D1568" t="s">
        <v>2238</v>
      </c>
      <c r="E1568" t="s">
        <v>7652</v>
      </c>
      <c r="F1568">
        <v>2010</v>
      </c>
      <c r="G1568" t="s">
        <v>7688</v>
      </c>
      <c r="H1568" t="s">
        <v>7689</v>
      </c>
      <c r="I1568" t="s">
        <v>7690</v>
      </c>
      <c r="J1568" t="s">
        <v>26</v>
      </c>
      <c r="K1568" t="s">
        <v>27</v>
      </c>
      <c r="L1568" t="b">
        <v>1</v>
      </c>
      <c r="M1568" t="s">
        <v>7691</v>
      </c>
      <c r="N1568" t="str">
        <f>"910.8"</f>
        <v>910.8</v>
      </c>
      <c r="O1568" t="s">
        <v>7692</v>
      </c>
      <c r="P1568" t="b">
        <v>0</v>
      </c>
      <c r="T1568">
        <v>726829465</v>
      </c>
    </row>
    <row r="1569" spans="1:20" x14ac:dyDescent="0.25">
      <c r="A1569">
        <v>508125</v>
      </c>
      <c r="B1569" t="s">
        <v>7693</v>
      </c>
      <c r="C1569" t="s">
        <v>7694</v>
      </c>
      <c r="D1569" t="s">
        <v>2238</v>
      </c>
      <c r="E1569" t="s">
        <v>2239</v>
      </c>
      <c r="F1569">
        <v>2010</v>
      </c>
      <c r="G1569" t="s">
        <v>7665</v>
      </c>
      <c r="H1569" t="s">
        <v>7695</v>
      </c>
      <c r="J1569" t="s">
        <v>26</v>
      </c>
      <c r="K1569" t="s">
        <v>27</v>
      </c>
      <c r="L1569" t="b">
        <v>1</v>
      </c>
      <c r="M1569" t="s">
        <v>7696</v>
      </c>
      <c r="N1569" t="str">
        <f>"970.015"</f>
        <v>970.015</v>
      </c>
      <c r="O1569" t="s">
        <v>7697</v>
      </c>
      <c r="P1569" t="b">
        <v>0</v>
      </c>
      <c r="T1569">
        <v>726828607</v>
      </c>
    </row>
    <row r="1570" spans="1:20" x14ac:dyDescent="0.25">
      <c r="A1570">
        <v>508107</v>
      </c>
      <c r="B1570" t="s">
        <v>7698</v>
      </c>
      <c r="C1570" t="s">
        <v>7699</v>
      </c>
      <c r="D1570" t="s">
        <v>2238</v>
      </c>
      <c r="E1570" t="s">
        <v>2239</v>
      </c>
      <c r="F1570">
        <v>2010</v>
      </c>
      <c r="G1570" t="s">
        <v>7665</v>
      </c>
      <c r="H1570" t="s">
        <v>7700</v>
      </c>
      <c r="I1570" t="s">
        <v>7701</v>
      </c>
      <c r="J1570" t="s">
        <v>26</v>
      </c>
      <c r="K1570" t="s">
        <v>27</v>
      </c>
      <c r="L1570" t="b">
        <v>1</v>
      </c>
      <c r="M1570" t="s">
        <v>7702</v>
      </c>
      <c r="N1570" t="str">
        <f>"910.4"</f>
        <v>910.4</v>
      </c>
      <c r="O1570" t="s">
        <v>7703</v>
      </c>
      <c r="P1570" t="b">
        <v>0</v>
      </c>
      <c r="T1570">
        <v>726828604</v>
      </c>
    </row>
    <row r="1571" spans="1:20" x14ac:dyDescent="0.25">
      <c r="A1571">
        <v>508101</v>
      </c>
      <c r="B1571" t="s">
        <v>7704</v>
      </c>
      <c r="C1571" t="s">
        <v>7705</v>
      </c>
      <c r="D1571" t="s">
        <v>2238</v>
      </c>
      <c r="E1571" t="s">
        <v>7652</v>
      </c>
      <c r="F1571">
        <v>2010</v>
      </c>
      <c r="G1571" t="s">
        <v>7688</v>
      </c>
      <c r="H1571" t="s">
        <v>7706</v>
      </c>
      <c r="I1571" t="s">
        <v>7707</v>
      </c>
      <c r="J1571" t="s">
        <v>26</v>
      </c>
      <c r="K1571" t="s">
        <v>27</v>
      </c>
      <c r="L1571" t="b">
        <v>1</v>
      </c>
      <c r="M1571" t="s">
        <v>7708</v>
      </c>
      <c r="N1571" t="str">
        <f>"910.4"</f>
        <v>910.4</v>
      </c>
      <c r="O1571" t="s">
        <v>7704</v>
      </c>
      <c r="P1571" t="b">
        <v>0</v>
      </c>
      <c r="T1571">
        <v>726828608</v>
      </c>
    </row>
    <row r="1572" spans="1:20" x14ac:dyDescent="0.25">
      <c r="A1572">
        <v>508095</v>
      </c>
      <c r="B1572" t="s">
        <v>7709</v>
      </c>
      <c r="D1572" t="s">
        <v>2238</v>
      </c>
      <c r="E1572" t="s">
        <v>7652</v>
      </c>
      <c r="F1572">
        <v>2010</v>
      </c>
      <c r="G1572" t="s">
        <v>7710</v>
      </c>
      <c r="H1572" t="s">
        <v>7711</v>
      </c>
      <c r="J1572" t="s">
        <v>26</v>
      </c>
      <c r="K1572" t="s">
        <v>27</v>
      </c>
      <c r="L1572" t="b">
        <v>1</v>
      </c>
      <c r="M1572" t="s">
        <v>7712</v>
      </c>
      <c r="N1572" t="str">
        <f>"946.5502"</f>
        <v>946.5502</v>
      </c>
      <c r="O1572" t="s">
        <v>7709</v>
      </c>
      <c r="P1572" t="b">
        <v>0</v>
      </c>
      <c r="T1572">
        <v>715189749</v>
      </c>
    </row>
    <row r="1573" spans="1:20" x14ac:dyDescent="0.25">
      <c r="A1573">
        <v>508073</v>
      </c>
      <c r="B1573" t="s">
        <v>7713</v>
      </c>
      <c r="C1573" t="s">
        <v>7714</v>
      </c>
      <c r="D1573" t="s">
        <v>2238</v>
      </c>
      <c r="E1573" t="s">
        <v>7652</v>
      </c>
      <c r="F1573">
        <v>2010</v>
      </c>
      <c r="G1573" t="s">
        <v>7715</v>
      </c>
      <c r="H1573" t="s">
        <v>7716</v>
      </c>
      <c r="I1573" t="s">
        <v>7690</v>
      </c>
      <c r="J1573" t="s">
        <v>26</v>
      </c>
      <c r="K1573" t="s">
        <v>27</v>
      </c>
      <c r="L1573" t="b">
        <v>1</v>
      </c>
      <c r="M1573" t="s">
        <v>7717</v>
      </c>
      <c r="N1573" t="str">
        <f>"915.4"</f>
        <v>915.4</v>
      </c>
      <c r="O1573" t="s">
        <v>7668</v>
      </c>
      <c r="P1573" t="b">
        <v>0</v>
      </c>
      <c r="T1573">
        <v>715159063</v>
      </c>
    </row>
    <row r="1574" spans="1:20" x14ac:dyDescent="0.25">
      <c r="A1574">
        <v>508071</v>
      </c>
      <c r="B1574" t="s">
        <v>7718</v>
      </c>
      <c r="D1574" t="s">
        <v>2238</v>
      </c>
      <c r="E1574" t="s">
        <v>7719</v>
      </c>
      <c r="F1574">
        <v>2010</v>
      </c>
      <c r="G1574" t="s">
        <v>7720</v>
      </c>
      <c r="H1574" t="s">
        <v>7721</v>
      </c>
      <c r="I1574" t="s">
        <v>7707</v>
      </c>
      <c r="J1574" t="s">
        <v>26</v>
      </c>
      <c r="K1574" t="s">
        <v>27</v>
      </c>
      <c r="L1574" t="b">
        <v>1</v>
      </c>
      <c r="M1574" t="s">
        <v>7722</v>
      </c>
      <c r="N1574" t="str">
        <f>"914.04232"</f>
        <v>914.04232</v>
      </c>
      <c r="P1574" t="b">
        <v>0</v>
      </c>
      <c r="T1574">
        <v>823255209</v>
      </c>
    </row>
    <row r="1575" spans="1:20" x14ac:dyDescent="0.25">
      <c r="A1575">
        <v>508068</v>
      </c>
      <c r="B1575" t="s">
        <v>7723</v>
      </c>
      <c r="C1575" t="s">
        <v>7724</v>
      </c>
      <c r="D1575" t="s">
        <v>2238</v>
      </c>
      <c r="E1575" t="s">
        <v>7652</v>
      </c>
      <c r="F1575">
        <v>2010</v>
      </c>
      <c r="G1575" t="s">
        <v>7665</v>
      </c>
      <c r="H1575" t="s">
        <v>7725</v>
      </c>
      <c r="I1575" t="s">
        <v>7726</v>
      </c>
      <c r="J1575" t="s">
        <v>26</v>
      </c>
      <c r="K1575" t="s">
        <v>27</v>
      </c>
      <c r="L1575" t="b">
        <v>1</v>
      </c>
      <c r="M1575" t="s">
        <v>7727</v>
      </c>
      <c r="N1575" t="str">
        <f>"910.9"</f>
        <v>910.9</v>
      </c>
      <c r="O1575" t="s">
        <v>7668</v>
      </c>
      <c r="P1575" t="b">
        <v>0</v>
      </c>
      <c r="T1575">
        <v>708568364</v>
      </c>
    </row>
    <row r="1576" spans="1:20" x14ac:dyDescent="0.25">
      <c r="A1576">
        <v>508063</v>
      </c>
      <c r="B1576" t="s">
        <v>7728</v>
      </c>
      <c r="D1576" t="s">
        <v>2238</v>
      </c>
      <c r="E1576" t="s">
        <v>7652</v>
      </c>
      <c r="F1576">
        <v>2010</v>
      </c>
      <c r="G1576" t="s">
        <v>793</v>
      </c>
      <c r="H1576" t="s">
        <v>7729</v>
      </c>
      <c r="I1576" t="s">
        <v>7726</v>
      </c>
      <c r="J1576" t="s">
        <v>26</v>
      </c>
      <c r="K1576" t="s">
        <v>27</v>
      </c>
      <c r="L1576" t="b">
        <v>1</v>
      </c>
      <c r="M1576" t="s">
        <v>7730</v>
      </c>
      <c r="N1576" t="str">
        <f>"995.93"</f>
        <v>995.93</v>
      </c>
      <c r="O1576" t="s">
        <v>7668</v>
      </c>
      <c r="P1576" t="b">
        <v>0</v>
      </c>
      <c r="T1576">
        <v>708568371</v>
      </c>
    </row>
    <row r="1577" spans="1:20" x14ac:dyDescent="0.25">
      <c r="A1577">
        <v>506940</v>
      </c>
      <c r="B1577" t="s">
        <v>7731</v>
      </c>
      <c r="C1577" t="s">
        <v>7732</v>
      </c>
      <c r="D1577" t="s">
        <v>2238</v>
      </c>
      <c r="E1577" t="s">
        <v>2239</v>
      </c>
      <c r="F1577">
        <v>2002</v>
      </c>
      <c r="G1577" t="s">
        <v>2355</v>
      </c>
      <c r="H1577" t="s">
        <v>7733</v>
      </c>
      <c r="I1577" t="s">
        <v>7734</v>
      </c>
      <c r="J1577" t="s">
        <v>26</v>
      </c>
      <c r="K1577" t="s">
        <v>86</v>
      </c>
      <c r="L1577" t="b">
        <v>1</v>
      </c>
      <c r="M1577" t="s">
        <v>7735</v>
      </c>
      <c r="N1577" t="str">
        <f>"781.643092"</f>
        <v>781.643092</v>
      </c>
      <c r="P1577" t="b">
        <v>0</v>
      </c>
      <c r="R1577" t="str">
        <f>"9780415937108"</f>
        <v>9780415937108</v>
      </c>
      <c r="S1577" t="str">
        <f>"9781136065224"</f>
        <v>9781136065224</v>
      </c>
      <c r="T1577">
        <v>820923761</v>
      </c>
    </row>
    <row r="1578" spans="1:20" x14ac:dyDescent="0.25">
      <c r="A1578">
        <v>503881</v>
      </c>
      <c r="B1578" t="s">
        <v>7736</v>
      </c>
      <c r="C1578" t="s">
        <v>7737</v>
      </c>
      <c r="D1578" t="s">
        <v>4505</v>
      </c>
      <c r="E1578" t="s">
        <v>4506</v>
      </c>
      <c r="F1578">
        <v>2013</v>
      </c>
      <c r="G1578" t="s">
        <v>2497</v>
      </c>
      <c r="H1578" t="s">
        <v>7738</v>
      </c>
      <c r="J1578" t="s">
        <v>26</v>
      </c>
      <c r="K1578" t="s">
        <v>27</v>
      </c>
      <c r="L1578" t="b">
        <v>1</v>
      </c>
      <c r="M1578" t="s">
        <v>7739</v>
      </c>
      <c r="N1578" t="str">
        <f>"891/.5511"</f>
        <v>891/.5511</v>
      </c>
      <c r="O1578" t="s">
        <v>7740</v>
      </c>
      <c r="P1578" t="b">
        <v>0</v>
      </c>
      <c r="R1578" t="str">
        <f>"9789004244849"</f>
        <v>9789004244849</v>
      </c>
      <c r="S1578" t="str">
        <f>"9789004245075"</f>
        <v>9789004245075</v>
      </c>
      <c r="T1578">
        <v>820579615</v>
      </c>
    </row>
    <row r="1579" spans="1:20" x14ac:dyDescent="0.25">
      <c r="A1579">
        <v>503290</v>
      </c>
      <c r="B1579" t="s">
        <v>7741</v>
      </c>
      <c r="D1579" t="s">
        <v>240</v>
      </c>
      <c r="E1579" t="s">
        <v>1625</v>
      </c>
      <c r="F1579">
        <v>2012</v>
      </c>
      <c r="G1579" t="s">
        <v>182</v>
      </c>
      <c r="H1579" t="s">
        <v>7742</v>
      </c>
      <c r="J1579" t="s">
        <v>26</v>
      </c>
      <c r="K1579" t="s">
        <v>27</v>
      </c>
      <c r="L1579" t="b">
        <v>1</v>
      </c>
      <c r="M1579" t="s">
        <v>7743</v>
      </c>
      <c r="N1579" t="str">
        <f>"939.4"</f>
        <v>939.4</v>
      </c>
      <c r="O1579" t="s">
        <v>1629</v>
      </c>
      <c r="P1579" t="b">
        <v>0</v>
      </c>
      <c r="R1579" t="str">
        <f>"9781611683202"</f>
        <v>9781611683202</v>
      </c>
      <c r="S1579" t="str">
        <f>"9781611683226"</f>
        <v>9781611683226</v>
      </c>
      <c r="T1579">
        <v>820719584</v>
      </c>
    </row>
    <row r="1580" spans="1:20" x14ac:dyDescent="0.25">
      <c r="A1580">
        <v>503052</v>
      </c>
      <c r="B1580" t="s">
        <v>7744</v>
      </c>
      <c r="C1580" t="s">
        <v>7745</v>
      </c>
      <c r="D1580" t="s">
        <v>131</v>
      </c>
      <c r="E1580" t="s">
        <v>5844</v>
      </c>
      <c r="F1580">
        <v>2012</v>
      </c>
      <c r="G1580" t="s">
        <v>7746</v>
      </c>
      <c r="H1580" t="s">
        <v>7747</v>
      </c>
      <c r="I1580" t="s">
        <v>7748</v>
      </c>
      <c r="J1580" t="s">
        <v>26</v>
      </c>
      <c r="K1580" t="s">
        <v>86</v>
      </c>
      <c r="L1580" t="b">
        <v>1</v>
      </c>
      <c r="M1580" t="s">
        <v>7749</v>
      </c>
      <c r="N1580" t="str">
        <f>"633.5/3"</f>
        <v>633.5/3</v>
      </c>
      <c r="P1580" t="b">
        <v>0</v>
      </c>
      <c r="R1580" t="str">
        <f>"9780932551047"</f>
        <v>9780932551047</v>
      </c>
      <c r="S1580" t="str">
        <f>"9781936807185"</f>
        <v>9781936807185</v>
      </c>
      <c r="T1580">
        <v>818734037</v>
      </c>
    </row>
    <row r="1581" spans="1:20" x14ac:dyDescent="0.25">
      <c r="A1581">
        <v>499792</v>
      </c>
      <c r="B1581" t="s">
        <v>7750</v>
      </c>
      <c r="C1581" t="s">
        <v>7751</v>
      </c>
      <c r="D1581" t="s">
        <v>131</v>
      </c>
      <c r="E1581" t="s">
        <v>1144</v>
      </c>
      <c r="F1581">
        <v>2012</v>
      </c>
      <c r="G1581" t="s">
        <v>856</v>
      </c>
      <c r="H1581" t="s">
        <v>7752</v>
      </c>
      <c r="I1581" t="s">
        <v>7753</v>
      </c>
      <c r="J1581" t="s">
        <v>26</v>
      </c>
      <c r="K1581" t="s">
        <v>86</v>
      </c>
      <c r="L1581" t="b">
        <v>1</v>
      </c>
      <c r="M1581" t="s">
        <v>7754</v>
      </c>
      <c r="N1581" t="str">
        <f>"306.2"</f>
        <v>306.2</v>
      </c>
      <c r="P1581" t="b">
        <v>0</v>
      </c>
      <c r="R1581" t="str">
        <f>"9781926845845"</f>
        <v>9781926845845</v>
      </c>
      <c r="S1581" t="str">
        <f>"9781926845852"</f>
        <v>9781926845852</v>
      </c>
      <c r="T1581">
        <v>819136147</v>
      </c>
    </row>
    <row r="1582" spans="1:20" x14ac:dyDescent="0.25">
      <c r="A1582">
        <v>499247</v>
      </c>
      <c r="B1582" t="s">
        <v>7755</v>
      </c>
      <c r="C1582" t="s">
        <v>7756</v>
      </c>
      <c r="D1582" t="s">
        <v>7757</v>
      </c>
      <c r="E1582" t="s">
        <v>7757</v>
      </c>
      <c r="F1582">
        <v>2012</v>
      </c>
      <c r="G1582" t="s">
        <v>7758</v>
      </c>
      <c r="H1582" t="s">
        <v>7759</v>
      </c>
      <c r="I1582" t="s">
        <v>7760</v>
      </c>
      <c r="J1582" t="s">
        <v>26</v>
      </c>
      <c r="K1582" t="s">
        <v>86</v>
      </c>
      <c r="L1582" t="b">
        <v>1</v>
      </c>
      <c r="M1582" t="s">
        <v>7761</v>
      </c>
      <c r="N1582" t="str">
        <f>"618.92/89165154"</f>
        <v>618.92/89165154</v>
      </c>
      <c r="P1582" t="b">
        <v>0</v>
      </c>
      <c r="R1582" t="str">
        <f>"9781849052412"</f>
        <v>9781849052412</v>
      </c>
      <c r="S1582" t="str">
        <f>"9780857004857"</f>
        <v>9780857004857</v>
      </c>
      <c r="T1582">
        <v>813005442</v>
      </c>
    </row>
    <row r="1583" spans="1:20" x14ac:dyDescent="0.25">
      <c r="A1583">
        <v>494418</v>
      </c>
      <c r="B1583" t="s">
        <v>7762</v>
      </c>
      <c r="D1583" t="s">
        <v>5731</v>
      </c>
      <c r="E1583" t="s">
        <v>6240</v>
      </c>
      <c r="F1583">
        <v>2011</v>
      </c>
      <c r="G1583" t="s">
        <v>7763</v>
      </c>
      <c r="H1583" t="s">
        <v>7764</v>
      </c>
      <c r="J1583" t="s">
        <v>26</v>
      </c>
      <c r="K1583" t="s">
        <v>86</v>
      </c>
      <c r="L1583" t="b">
        <v>1</v>
      </c>
      <c r="M1583" t="s">
        <v>7765</v>
      </c>
      <c r="N1583" t="str">
        <f>"952.0403"</f>
        <v>952.0403</v>
      </c>
      <c r="O1583" t="s">
        <v>7766</v>
      </c>
      <c r="P1583" t="b">
        <v>0</v>
      </c>
      <c r="R1583" t="str">
        <f>"9780810854604"</f>
        <v>9780810854604</v>
      </c>
      <c r="S1583" t="str">
        <f>"9780810875395"</f>
        <v>9780810875395</v>
      </c>
      <c r="T1583">
        <v>811408627</v>
      </c>
    </row>
    <row r="1584" spans="1:20" x14ac:dyDescent="0.25">
      <c r="A1584">
        <v>494399</v>
      </c>
      <c r="B1584" t="s">
        <v>7767</v>
      </c>
      <c r="D1584" t="s">
        <v>5731</v>
      </c>
      <c r="E1584" t="s">
        <v>6240</v>
      </c>
      <c r="F1584">
        <v>2010</v>
      </c>
      <c r="G1584" t="s">
        <v>558</v>
      </c>
      <c r="H1584" t="s">
        <v>7768</v>
      </c>
      <c r="J1584" t="s">
        <v>26</v>
      </c>
      <c r="K1584" t="s">
        <v>86</v>
      </c>
      <c r="L1584" t="b">
        <v>1</v>
      </c>
      <c r="M1584" t="s">
        <v>7769</v>
      </c>
      <c r="N1584" t="str">
        <f>"953.3003"</f>
        <v>953.3003</v>
      </c>
      <c r="O1584" t="s">
        <v>7766</v>
      </c>
      <c r="P1584" t="b">
        <v>0</v>
      </c>
      <c r="R1584" t="str">
        <f>"9780810855281"</f>
        <v>9780810855281</v>
      </c>
      <c r="S1584" t="str">
        <f>"9780810870802"</f>
        <v>9780810870802</v>
      </c>
      <c r="T1584">
        <v>815281570</v>
      </c>
    </row>
    <row r="1585" spans="1:20" x14ac:dyDescent="0.25">
      <c r="A1585">
        <v>494396</v>
      </c>
      <c r="B1585" t="s">
        <v>7770</v>
      </c>
      <c r="D1585" t="s">
        <v>5731</v>
      </c>
      <c r="E1585" t="s">
        <v>6240</v>
      </c>
      <c r="F1585">
        <v>2010</v>
      </c>
      <c r="G1585" t="s">
        <v>7771</v>
      </c>
      <c r="H1585" t="s">
        <v>7772</v>
      </c>
      <c r="I1585" t="s">
        <v>7773</v>
      </c>
      <c r="J1585" t="s">
        <v>26</v>
      </c>
      <c r="K1585" t="s">
        <v>86</v>
      </c>
      <c r="L1585" t="b">
        <v>1</v>
      </c>
      <c r="M1585" t="s">
        <v>7774</v>
      </c>
      <c r="N1585" t="str">
        <f>"709/.03203"</f>
        <v>709/.03203</v>
      </c>
      <c r="O1585" t="s">
        <v>7775</v>
      </c>
      <c r="P1585" t="b">
        <v>0</v>
      </c>
      <c r="R1585" t="str">
        <f>"9780810861558"</f>
        <v>9780810861558</v>
      </c>
      <c r="S1585" t="str">
        <f>"9781461659198"</f>
        <v>9781461659198</v>
      </c>
      <c r="T1585">
        <v>1029486571</v>
      </c>
    </row>
    <row r="1586" spans="1:20" x14ac:dyDescent="0.25">
      <c r="A1586">
        <v>494209</v>
      </c>
      <c r="B1586" t="s">
        <v>7776</v>
      </c>
      <c r="D1586" t="s">
        <v>1364</v>
      </c>
      <c r="E1586" t="s">
        <v>2275</v>
      </c>
      <c r="F1586">
        <v>2012</v>
      </c>
      <c r="G1586" t="s">
        <v>100</v>
      </c>
      <c r="H1586" t="s">
        <v>7777</v>
      </c>
      <c r="I1586" t="s">
        <v>7778</v>
      </c>
      <c r="J1586" t="s">
        <v>26</v>
      </c>
      <c r="K1586" t="s">
        <v>27</v>
      </c>
      <c r="L1586" t="b">
        <v>1</v>
      </c>
      <c r="M1586" t="s">
        <v>7779</v>
      </c>
      <c r="N1586" t="str">
        <f>"411.094"</f>
        <v>411.094</v>
      </c>
      <c r="P1586" t="b">
        <v>0</v>
      </c>
      <c r="R1586" t="str">
        <f>"9783110288124"</f>
        <v>9783110288124</v>
      </c>
      <c r="S1586" t="str">
        <f>"9783110288179"</f>
        <v>9783110288179</v>
      </c>
      <c r="T1586">
        <v>811963070</v>
      </c>
    </row>
    <row r="1587" spans="1:20" x14ac:dyDescent="0.25">
      <c r="A1587">
        <v>494141</v>
      </c>
      <c r="B1587" t="s">
        <v>7780</v>
      </c>
      <c r="C1587" t="s">
        <v>7781</v>
      </c>
      <c r="D1587" t="s">
        <v>1364</v>
      </c>
      <c r="E1587" t="s">
        <v>1364</v>
      </c>
      <c r="F1587">
        <v>2012</v>
      </c>
      <c r="G1587" t="s">
        <v>4483</v>
      </c>
      <c r="H1587" t="s">
        <v>7782</v>
      </c>
      <c r="I1587" t="s">
        <v>7783</v>
      </c>
      <c r="J1587" t="s">
        <v>7784</v>
      </c>
      <c r="K1587" t="s">
        <v>27</v>
      </c>
      <c r="L1587" t="b">
        <v>1</v>
      </c>
      <c r="M1587" t="s">
        <v>7785</v>
      </c>
      <c r="N1587" t="str">
        <f>"128/.3709"</f>
        <v>128/.3709</v>
      </c>
      <c r="P1587" t="b">
        <v>0</v>
      </c>
      <c r="R1587" t="str">
        <f>"9783110260908"</f>
        <v>9783110260908</v>
      </c>
      <c r="S1587" t="str">
        <f>"9783110260922"</f>
        <v>9783110260922</v>
      </c>
      <c r="T1587">
        <v>812528571</v>
      </c>
    </row>
    <row r="1588" spans="1:20" x14ac:dyDescent="0.25">
      <c r="A1588">
        <v>494118</v>
      </c>
      <c r="B1588" t="s">
        <v>7786</v>
      </c>
      <c r="C1588" t="s">
        <v>7787</v>
      </c>
      <c r="D1588" t="s">
        <v>1364</v>
      </c>
      <c r="E1588" t="s">
        <v>1364</v>
      </c>
      <c r="F1588">
        <v>2012</v>
      </c>
      <c r="G1588" t="s">
        <v>182</v>
      </c>
      <c r="H1588" t="s">
        <v>7788</v>
      </c>
      <c r="I1588" t="s">
        <v>7789</v>
      </c>
      <c r="J1588" t="s">
        <v>7790</v>
      </c>
      <c r="K1588" t="s">
        <v>27</v>
      </c>
      <c r="L1588" t="b">
        <v>1</v>
      </c>
      <c r="M1588" t="s">
        <v>7791</v>
      </c>
      <c r="N1588" t="str">
        <f>"943.087092"</f>
        <v>943.087092</v>
      </c>
      <c r="O1588" t="s">
        <v>7792</v>
      </c>
      <c r="P1588" t="b">
        <v>0</v>
      </c>
      <c r="R1588" t="str">
        <f>"9783598251276"</f>
        <v>9783598251276</v>
      </c>
      <c r="S1588" t="str">
        <f>"9783110232363"</f>
        <v>9783110232363</v>
      </c>
      <c r="T1588">
        <v>820825324</v>
      </c>
    </row>
    <row r="1589" spans="1:20" x14ac:dyDescent="0.25">
      <c r="A1589">
        <v>491075</v>
      </c>
      <c r="B1589" t="s">
        <v>7793</v>
      </c>
      <c r="D1589" t="s">
        <v>2238</v>
      </c>
      <c r="E1589" t="s">
        <v>2239</v>
      </c>
      <c r="F1589">
        <v>1997</v>
      </c>
      <c r="G1589" t="s">
        <v>197</v>
      </c>
      <c r="H1589" t="s">
        <v>7794</v>
      </c>
      <c r="J1589" t="s">
        <v>26</v>
      </c>
      <c r="K1589" t="s">
        <v>86</v>
      </c>
      <c r="L1589" t="b">
        <v>1</v>
      </c>
      <c r="M1589" t="s">
        <v>7795</v>
      </c>
      <c r="N1589" t="str">
        <f>"823.912"</f>
        <v>823.912</v>
      </c>
      <c r="O1589" t="s">
        <v>7539</v>
      </c>
      <c r="P1589" t="b">
        <v>0</v>
      </c>
      <c r="R1589" t="str">
        <f>"9780415159104"</f>
        <v>9780415159104</v>
      </c>
      <c r="S1589" t="str">
        <f>"9781134724192"</f>
        <v>9781134724192</v>
      </c>
      <c r="T1589">
        <v>813846151</v>
      </c>
    </row>
    <row r="1590" spans="1:20" x14ac:dyDescent="0.25">
      <c r="A1590">
        <v>490989</v>
      </c>
      <c r="B1590" t="s">
        <v>7796</v>
      </c>
      <c r="D1590" t="s">
        <v>98</v>
      </c>
      <c r="E1590" t="s">
        <v>99</v>
      </c>
      <c r="F1590">
        <v>2012</v>
      </c>
      <c r="G1590" t="s">
        <v>7797</v>
      </c>
      <c r="H1590" t="s">
        <v>7798</v>
      </c>
      <c r="I1590" t="s">
        <v>7799</v>
      </c>
      <c r="J1590" t="s">
        <v>26</v>
      </c>
      <c r="K1590" t="s">
        <v>27</v>
      </c>
      <c r="L1590" t="b">
        <v>1</v>
      </c>
      <c r="M1590" t="s">
        <v>7800</v>
      </c>
      <c r="N1590" t="str">
        <f>"541.2076"</f>
        <v>541.2076</v>
      </c>
      <c r="P1590" t="b">
        <v>0</v>
      </c>
      <c r="R1590" t="str">
        <f>"9780199658503"</f>
        <v>9780199658503</v>
      </c>
      <c r="S1590" t="str">
        <f>"9780191633041"</f>
        <v>9780191633041</v>
      </c>
      <c r="T1590">
        <v>813144189</v>
      </c>
    </row>
    <row r="1591" spans="1:20" x14ac:dyDescent="0.25">
      <c r="A1591">
        <v>489693</v>
      </c>
      <c r="B1591" t="s">
        <v>7801</v>
      </c>
      <c r="C1591" t="s">
        <v>7802</v>
      </c>
      <c r="D1591" t="s">
        <v>123</v>
      </c>
      <c r="E1591" t="s">
        <v>1927</v>
      </c>
      <c r="F1591">
        <v>2012</v>
      </c>
      <c r="G1591" t="s">
        <v>5233</v>
      </c>
      <c r="H1591" t="s">
        <v>7803</v>
      </c>
      <c r="I1591" t="s">
        <v>7804</v>
      </c>
      <c r="J1591" t="s">
        <v>26</v>
      </c>
      <c r="K1591" t="s">
        <v>86</v>
      </c>
      <c r="L1591" t="b">
        <v>1</v>
      </c>
      <c r="M1591" t="s">
        <v>7805</v>
      </c>
      <c r="N1591" t="str">
        <f>"320.53"</f>
        <v>320.53</v>
      </c>
      <c r="P1591" t="b">
        <v>0</v>
      </c>
      <c r="R1591" t="str">
        <f>"9781596988125"</f>
        <v>9781596988125</v>
      </c>
      <c r="S1591" t="str">
        <f>"9781621570066"</f>
        <v>9781621570066</v>
      </c>
      <c r="T1591">
        <v>812193305</v>
      </c>
    </row>
    <row r="1592" spans="1:20" x14ac:dyDescent="0.25">
      <c r="A1592">
        <v>489689</v>
      </c>
      <c r="B1592" t="s">
        <v>7806</v>
      </c>
      <c r="C1592" t="s">
        <v>7807</v>
      </c>
      <c r="D1592" t="s">
        <v>123</v>
      </c>
      <c r="E1592" t="s">
        <v>1927</v>
      </c>
      <c r="F1592">
        <v>2002</v>
      </c>
      <c r="G1592" t="s">
        <v>1396</v>
      </c>
      <c r="H1592" t="s">
        <v>7808</v>
      </c>
      <c r="I1592" t="s">
        <v>7809</v>
      </c>
      <c r="J1592" t="s">
        <v>26</v>
      </c>
      <c r="K1592" t="s">
        <v>86</v>
      </c>
      <c r="L1592" t="b">
        <v>1</v>
      </c>
      <c r="M1592" t="s">
        <v>7810</v>
      </c>
      <c r="N1592" t="str">
        <f>"172/.42"</f>
        <v>172/.42</v>
      </c>
      <c r="P1592" t="b">
        <v>0</v>
      </c>
      <c r="R1592" t="str">
        <f>"9780895261342"</f>
        <v>9780895261342</v>
      </c>
      <c r="S1592" t="str">
        <f>"9781596983076"</f>
        <v>9781596983076</v>
      </c>
      <c r="T1592">
        <v>794493990</v>
      </c>
    </row>
    <row r="1593" spans="1:20" x14ac:dyDescent="0.25">
      <c r="A1593">
        <v>489683</v>
      </c>
      <c r="B1593" t="s">
        <v>7811</v>
      </c>
      <c r="C1593" t="s">
        <v>7812</v>
      </c>
      <c r="D1593" t="s">
        <v>123</v>
      </c>
      <c r="E1593" t="s">
        <v>1927</v>
      </c>
      <c r="F1593">
        <v>2012</v>
      </c>
      <c r="G1593" t="s">
        <v>1928</v>
      </c>
      <c r="H1593" t="s">
        <v>7813</v>
      </c>
      <c r="I1593" t="s">
        <v>7814</v>
      </c>
      <c r="J1593" t="s">
        <v>26</v>
      </c>
      <c r="K1593" t="s">
        <v>86</v>
      </c>
      <c r="L1593" t="b">
        <v>1</v>
      </c>
      <c r="M1593" t="s">
        <v>7815</v>
      </c>
      <c r="N1593" t="str">
        <f>"363.25/9336"</f>
        <v>363.25/9336</v>
      </c>
      <c r="P1593" t="b">
        <v>0</v>
      </c>
      <c r="R1593" t="str">
        <f>"9781596983212"</f>
        <v>9781596983212</v>
      </c>
      <c r="S1593" t="str">
        <f>"9781596988019"</f>
        <v>9781596988019</v>
      </c>
      <c r="T1593">
        <v>797845720</v>
      </c>
    </row>
    <row r="1594" spans="1:20" x14ac:dyDescent="0.25">
      <c r="A1594">
        <v>489678</v>
      </c>
      <c r="B1594" t="s">
        <v>7816</v>
      </c>
      <c r="C1594" t="s">
        <v>7817</v>
      </c>
      <c r="D1594" t="s">
        <v>123</v>
      </c>
      <c r="E1594" t="s">
        <v>1927</v>
      </c>
      <c r="F1594">
        <v>1999</v>
      </c>
      <c r="G1594" t="s">
        <v>7653</v>
      </c>
      <c r="H1594" t="s">
        <v>7818</v>
      </c>
      <c r="I1594" t="s">
        <v>7819</v>
      </c>
      <c r="J1594" t="s">
        <v>26</v>
      </c>
      <c r="K1594" t="s">
        <v>86</v>
      </c>
      <c r="L1594" t="b">
        <v>1</v>
      </c>
      <c r="M1594" t="s">
        <v>7820</v>
      </c>
      <c r="N1594" t="str">
        <f>"355/.031/09510973"</f>
        <v>355/.031/09510973</v>
      </c>
      <c r="P1594" t="b">
        <v>0</v>
      </c>
      <c r="R1594" t="str">
        <f>"9780895261618"</f>
        <v>9780895261618</v>
      </c>
      <c r="S1594" t="str">
        <f>"9781596987142"</f>
        <v>9781596987142</v>
      </c>
      <c r="T1594">
        <v>794493976</v>
      </c>
    </row>
    <row r="1595" spans="1:20" x14ac:dyDescent="0.25">
      <c r="A1595">
        <v>489677</v>
      </c>
      <c r="B1595" t="s">
        <v>7821</v>
      </c>
      <c r="C1595" t="s">
        <v>7822</v>
      </c>
      <c r="D1595" t="s">
        <v>123</v>
      </c>
      <c r="E1595" t="s">
        <v>7823</v>
      </c>
      <c r="F1595">
        <v>2003</v>
      </c>
      <c r="G1595" t="s">
        <v>7824</v>
      </c>
      <c r="H1595" t="s">
        <v>7825</v>
      </c>
      <c r="I1595" t="s">
        <v>7826</v>
      </c>
      <c r="J1595" t="s">
        <v>26</v>
      </c>
      <c r="K1595" t="s">
        <v>48</v>
      </c>
      <c r="L1595" t="b">
        <v>1</v>
      </c>
      <c r="M1595" t="s">
        <v>7827</v>
      </c>
      <c r="N1595" t="str">
        <f>"275.1"</f>
        <v>275.1</v>
      </c>
      <c r="P1595" t="b">
        <v>0</v>
      </c>
      <c r="R1595" t="str">
        <f>"9781596980259"</f>
        <v>9781596980259</v>
      </c>
      <c r="S1595" t="str">
        <f>"9781596986527"</f>
        <v>9781596986527</v>
      </c>
      <c r="T1595">
        <v>794494058</v>
      </c>
    </row>
    <row r="1596" spans="1:20" x14ac:dyDescent="0.25">
      <c r="A1596">
        <v>489674</v>
      </c>
      <c r="B1596" t="s">
        <v>7828</v>
      </c>
      <c r="C1596" t="s">
        <v>7829</v>
      </c>
      <c r="D1596" t="s">
        <v>123</v>
      </c>
      <c r="E1596" t="s">
        <v>1720</v>
      </c>
      <c r="F1596">
        <v>2000</v>
      </c>
      <c r="G1596" t="s">
        <v>7509</v>
      </c>
      <c r="H1596" t="s">
        <v>7830</v>
      </c>
      <c r="I1596" t="s">
        <v>7831</v>
      </c>
      <c r="J1596" t="s">
        <v>26</v>
      </c>
      <c r="K1596" t="s">
        <v>48</v>
      </c>
      <c r="L1596" t="b">
        <v>1</v>
      </c>
      <c r="M1596" t="s">
        <v>7832</v>
      </c>
      <c r="N1596" t="str">
        <f>"940.54/8647"</f>
        <v>940.54/8647</v>
      </c>
      <c r="P1596" t="b">
        <v>0</v>
      </c>
      <c r="R1596" t="str">
        <f>"9780895262257"</f>
        <v>9780895262257</v>
      </c>
      <c r="S1596" t="str">
        <f>"9781596987326"</f>
        <v>9781596987326</v>
      </c>
      <c r="T1596">
        <v>794488570</v>
      </c>
    </row>
    <row r="1597" spans="1:20" x14ac:dyDescent="0.25">
      <c r="A1597">
        <v>489557</v>
      </c>
      <c r="B1597" t="s">
        <v>7833</v>
      </c>
      <c r="D1597" t="s">
        <v>131</v>
      </c>
      <c r="E1597" t="s">
        <v>276</v>
      </c>
      <c r="F1597">
        <v>2012</v>
      </c>
      <c r="G1597" t="s">
        <v>3995</v>
      </c>
      <c r="H1597" t="s">
        <v>7834</v>
      </c>
      <c r="I1597" t="s">
        <v>7835</v>
      </c>
      <c r="J1597" t="s">
        <v>26</v>
      </c>
      <c r="K1597" t="s">
        <v>86</v>
      </c>
      <c r="L1597" t="b">
        <v>1</v>
      </c>
      <c r="M1597" t="s">
        <v>7836</v>
      </c>
      <c r="N1597" t="str">
        <f>"810.8/09753"</f>
        <v>810.8/09753</v>
      </c>
      <c r="O1597" t="s">
        <v>7837</v>
      </c>
      <c r="P1597" t="b">
        <v>1</v>
      </c>
      <c r="R1597" t="str">
        <f>"9781595340788"</f>
        <v>9781595340788</v>
      </c>
      <c r="S1597" t="str">
        <f>"9781595341259"</f>
        <v>9781595341259</v>
      </c>
      <c r="T1597">
        <v>812911773</v>
      </c>
    </row>
    <row r="1598" spans="1:20" x14ac:dyDescent="0.25">
      <c r="A1598">
        <v>489534</v>
      </c>
      <c r="B1598" t="s">
        <v>7838</v>
      </c>
      <c r="C1598" t="s">
        <v>7839</v>
      </c>
      <c r="D1598" t="s">
        <v>131</v>
      </c>
      <c r="E1598" t="s">
        <v>276</v>
      </c>
      <c r="F1598">
        <v>2006</v>
      </c>
      <c r="G1598" t="s">
        <v>4098</v>
      </c>
      <c r="H1598" t="s">
        <v>7840</v>
      </c>
      <c r="I1598" t="s">
        <v>7841</v>
      </c>
      <c r="J1598" t="s">
        <v>26</v>
      </c>
      <c r="K1598" t="s">
        <v>86</v>
      </c>
      <c r="L1598" t="b">
        <v>1</v>
      </c>
      <c r="M1598" t="s">
        <v>7842</v>
      </c>
      <c r="N1598" t="str">
        <f>"972/.04092"</f>
        <v>972/.04092</v>
      </c>
      <c r="P1598" t="b">
        <v>0</v>
      </c>
      <c r="R1598" t="str">
        <f>"9781595340207"</f>
        <v>9781595340207</v>
      </c>
      <c r="S1598" t="str">
        <f>"9781595341235"</f>
        <v>9781595341235</v>
      </c>
      <c r="T1598">
        <v>812911763</v>
      </c>
    </row>
    <row r="1599" spans="1:20" x14ac:dyDescent="0.25">
      <c r="A1599">
        <v>489274</v>
      </c>
      <c r="B1599" t="s">
        <v>7843</v>
      </c>
      <c r="D1599" t="s">
        <v>123</v>
      </c>
      <c r="E1599" t="s">
        <v>7844</v>
      </c>
      <c r="F1599">
        <v>1998</v>
      </c>
      <c r="G1599" t="s">
        <v>7845</v>
      </c>
      <c r="H1599" t="s">
        <v>7846</v>
      </c>
      <c r="I1599" t="s">
        <v>7847</v>
      </c>
      <c r="J1599" t="s">
        <v>26</v>
      </c>
      <c r="K1599" t="s">
        <v>86</v>
      </c>
      <c r="L1599" t="b">
        <v>1</v>
      </c>
      <c r="M1599" t="s">
        <v>7848</v>
      </c>
      <c r="N1599" t="str">
        <f>"195"</f>
        <v>195</v>
      </c>
      <c r="P1599" t="b">
        <v>0</v>
      </c>
      <c r="R1599" t="str">
        <f>"9780895267139"</f>
        <v>9780895267139</v>
      </c>
      <c r="S1599" t="str">
        <f>"9781596983014"</f>
        <v>9781596983014</v>
      </c>
      <c r="T1599">
        <v>812915053</v>
      </c>
    </row>
    <row r="1600" spans="1:20" x14ac:dyDescent="0.25">
      <c r="A1600">
        <v>489178</v>
      </c>
      <c r="B1600" t="s">
        <v>7849</v>
      </c>
      <c r="C1600" t="s">
        <v>7850</v>
      </c>
      <c r="D1600" t="s">
        <v>131</v>
      </c>
      <c r="E1600" t="s">
        <v>1144</v>
      </c>
      <c r="F1600">
        <v>2012</v>
      </c>
      <c r="G1600" t="s">
        <v>1200</v>
      </c>
      <c r="H1600" t="s">
        <v>7851</v>
      </c>
      <c r="J1600" t="s">
        <v>26</v>
      </c>
      <c r="K1600" t="s">
        <v>86</v>
      </c>
      <c r="L1600" t="b">
        <v>1</v>
      </c>
      <c r="M1600" t="s">
        <v>7852</v>
      </c>
      <c r="N1600" t="str">
        <f>"891.73/3"</f>
        <v>891.73/3</v>
      </c>
      <c r="P1600" t="b">
        <v>1</v>
      </c>
      <c r="R1600" t="str">
        <f>"9781926845425"</f>
        <v>9781926845425</v>
      </c>
      <c r="S1600" t="str">
        <f>"9781926845432"</f>
        <v>9781926845432</v>
      </c>
      <c r="T1600">
        <v>812923856</v>
      </c>
    </row>
    <row r="1601" spans="1:20" x14ac:dyDescent="0.25">
      <c r="A1601">
        <v>488974</v>
      </c>
      <c r="B1601" t="s">
        <v>7853</v>
      </c>
      <c r="D1601" t="s">
        <v>1151</v>
      </c>
      <c r="E1601" t="s">
        <v>6323</v>
      </c>
      <c r="F1601">
        <v>2011</v>
      </c>
      <c r="G1601" t="s">
        <v>7854</v>
      </c>
      <c r="H1601" t="s">
        <v>7855</v>
      </c>
      <c r="I1601" t="s">
        <v>7856</v>
      </c>
      <c r="J1601" t="s">
        <v>26</v>
      </c>
      <c r="K1601" t="s">
        <v>27</v>
      </c>
      <c r="L1601" t="b">
        <v>1</v>
      </c>
      <c r="M1601" t="s">
        <v>7857</v>
      </c>
      <c r="N1601" t="str">
        <f>"303.483"</f>
        <v>303.483</v>
      </c>
      <c r="O1601" t="s">
        <v>7858</v>
      </c>
      <c r="P1601" t="b">
        <v>0</v>
      </c>
      <c r="R1601" t="str">
        <f>"9780887846366"</f>
        <v>9780887846366</v>
      </c>
      <c r="S1601" t="str">
        <f>"9780887848919"</f>
        <v>9780887848919</v>
      </c>
      <c r="T1601">
        <v>781487284</v>
      </c>
    </row>
    <row r="1602" spans="1:20" x14ac:dyDescent="0.25">
      <c r="A1602">
        <v>488967</v>
      </c>
      <c r="B1602" t="s">
        <v>7859</v>
      </c>
      <c r="D1602" t="s">
        <v>1151</v>
      </c>
      <c r="E1602" t="s">
        <v>6323</v>
      </c>
      <c r="F1602">
        <v>1986</v>
      </c>
      <c r="G1602" t="s">
        <v>2281</v>
      </c>
      <c r="H1602" t="s">
        <v>7860</v>
      </c>
      <c r="I1602" t="s">
        <v>7861</v>
      </c>
      <c r="J1602" t="s">
        <v>26</v>
      </c>
      <c r="K1602" t="s">
        <v>27</v>
      </c>
      <c r="L1602" t="b">
        <v>1</v>
      </c>
      <c r="M1602" t="s">
        <v>7862</v>
      </c>
      <c r="N1602" t="str">
        <f>"170"</f>
        <v>170</v>
      </c>
      <c r="P1602" t="b">
        <v>0</v>
      </c>
      <c r="R1602" t="str">
        <f>"9780887845161"</f>
        <v>9780887845161</v>
      </c>
      <c r="S1602" t="str">
        <f>"9780887848773"</f>
        <v>9780887848773</v>
      </c>
      <c r="T1602">
        <v>243613986</v>
      </c>
    </row>
    <row r="1603" spans="1:20" x14ac:dyDescent="0.25">
      <c r="A1603">
        <v>488963</v>
      </c>
      <c r="B1603" t="s">
        <v>7863</v>
      </c>
      <c r="C1603" t="s">
        <v>7864</v>
      </c>
      <c r="D1603" t="s">
        <v>1151</v>
      </c>
      <c r="E1603" t="s">
        <v>6323</v>
      </c>
      <c r="F1603">
        <v>2009</v>
      </c>
      <c r="G1603" t="s">
        <v>811</v>
      </c>
      <c r="H1603" t="s">
        <v>7865</v>
      </c>
      <c r="I1603" t="s">
        <v>7866</v>
      </c>
      <c r="J1603" t="s">
        <v>26</v>
      </c>
      <c r="K1603" t="s">
        <v>27</v>
      </c>
      <c r="L1603" t="b">
        <v>1</v>
      </c>
      <c r="M1603" t="s">
        <v>7867</v>
      </c>
      <c r="N1603" t="str">
        <f>"361.2/6096"</f>
        <v>361.2/6096</v>
      </c>
      <c r="O1603" t="s">
        <v>6327</v>
      </c>
      <c r="P1603" t="b">
        <v>0</v>
      </c>
      <c r="R1603" t="str">
        <f>"9780887847530"</f>
        <v>9780887847530</v>
      </c>
      <c r="S1603" t="str">
        <f>"9780887848759"</f>
        <v>9780887848759</v>
      </c>
      <c r="T1603">
        <v>710995097</v>
      </c>
    </row>
    <row r="1604" spans="1:20" x14ac:dyDescent="0.25">
      <c r="A1604">
        <v>488959</v>
      </c>
      <c r="B1604" t="s">
        <v>7868</v>
      </c>
      <c r="C1604" t="s">
        <v>7869</v>
      </c>
      <c r="D1604" t="s">
        <v>1151</v>
      </c>
      <c r="E1604" t="s">
        <v>6323</v>
      </c>
      <c r="F1604">
        <v>2011</v>
      </c>
      <c r="G1604" t="s">
        <v>7870</v>
      </c>
      <c r="H1604" t="s">
        <v>7871</v>
      </c>
      <c r="I1604" t="s">
        <v>7872</v>
      </c>
      <c r="J1604" t="s">
        <v>26</v>
      </c>
      <c r="K1604" t="s">
        <v>27</v>
      </c>
      <c r="L1604" t="b">
        <v>1</v>
      </c>
      <c r="M1604" t="s">
        <v>7873</v>
      </c>
      <c r="N1604" t="str">
        <f>"944.081"</f>
        <v>944.081</v>
      </c>
      <c r="P1604" t="b">
        <v>0</v>
      </c>
      <c r="R1604" t="str">
        <f>"9780887846977"</f>
        <v>9780887846977</v>
      </c>
      <c r="S1604" t="str">
        <f>"9780887848735"</f>
        <v>9780887848735</v>
      </c>
      <c r="T1604">
        <v>781486772</v>
      </c>
    </row>
    <row r="1605" spans="1:20" x14ac:dyDescent="0.25">
      <c r="A1605">
        <v>488913</v>
      </c>
      <c r="B1605" t="s">
        <v>7874</v>
      </c>
      <c r="C1605" t="s">
        <v>7875</v>
      </c>
      <c r="D1605" t="s">
        <v>1151</v>
      </c>
      <c r="E1605" t="s">
        <v>6323</v>
      </c>
      <c r="F1605">
        <v>2011</v>
      </c>
      <c r="G1605" t="s">
        <v>7876</v>
      </c>
      <c r="H1605" t="s">
        <v>7877</v>
      </c>
      <c r="I1605" t="s">
        <v>7878</v>
      </c>
      <c r="J1605" t="s">
        <v>26</v>
      </c>
      <c r="K1605" t="s">
        <v>27</v>
      </c>
      <c r="L1605" t="b">
        <v>1</v>
      </c>
      <c r="M1605" t="s">
        <v>7879</v>
      </c>
      <c r="N1605" t="str">
        <f>"230.01"</f>
        <v>230.01</v>
      </c>
      <c r="P1605" t="b">
        <v>0</v>
      </c>
      <c r="R1605" t="str">
        <f>"9780887847141"</f>
        <v>9780887847141</v>
      </c>
      <c r="S1605" t="str">
        <f>"9780887848933"</f>
        <v>9780887848933</v>
      </c>
      <c r="T1605">
        <v>781486768</v>
      </c>
    </row>
    <row r="1606" spans="1:20" x14ac:dyDescent="0.25">
      <c r="A1606">
        <v>488912</v>
      </c>
      <c r="B1606" t="s">
        <v>7880</v>
      </c>
      <c r="D1606" t="s">
        <v>1151</v>
      </c>
      <c r="E1606" t="s">
        <v>6323</v>
      </c>
      <c r="F1606">
        <v>2011</v>
      </c>
      <c r="G1606" t="s">
        <v>7881</v>
      </c>
      <c r="H1606" t="s">
        <v>7882</v>
      </c>
      <c r="I1606" t="s">
        <v>7883</v>
      </c>
      <c r="J1606" t="s">
        <v>26</v>
      </c>
      <c r="K1606" t="s">
        <v>27</v>
      </c>
      <c r="L1606" t="b">
        <v>1</v>
      </c>
      <c r="M1606" t="s">
        <v>7884</v>
      </c>
      <c r="N1606" t="str">
        <f>"321.8"</f>
        <v>321.8</v>
      </c>
      <c r="O1606" t="s">
        <v>7858</v>
      </c>
      <c r="P1606" t="b">
        <v>0</v>
      </c>
      <c r="R1606" t="str">
        <f>"9780887845307"</f>
        <v>9780887845307</v>
      </c>
      <c r="S1606" t="str">
        <f>"9780887848902"</f>
        <v>9780887848902</v>
      </c>
      <c r="T1606">
        <v>753480399</v>
      </c>
    </row>
    <row r="1607" spans="1:20" x14ac:dyDescent="0.25">
      <c r="A1607">
        <v>488911</v>
      </c>
      <c r="B1607" t="s">
        <v>7885</v>
      </c>
      <c r="D1607" t="s">
        <v>1151</v>
      </c>
      <c r="E1607" t="s">
        <v>6323</v>
      </c>
      <c r="F1607">
        <v>2011</v>
      </c>
      <c r="G1607" t="s">
        <v>804</v>
      </c>
      <c r="H1607" t="s">
        <v>7886</v>
      </c>
      <c r="I1607" t="s">
        <v>7887</v>
      </c>
      <c r="J1607" t="s">
        <v>26</v>
      </c>
      <c r="K1607" t="s">
        <v>27</v>
      </c>
      <c r="L1607" t="b">
        <v>1</v>
      </c>
      <c r="M1607" t="s">
        <v>7888</v>
      </c>
      <c r="N1607" t="str">
        <f>"306.85"</f>
        <v>306.85</v>
      </c>
      <c r="O1607" t="s">
        <v>7889</v>
      </c>
      <c r="P1607" t="b">
        <v>0</v>
      </c>
      <c r="R1607" t="str">
        <f>"9780887845468"</f>
        <v>9780887845468</v>
      </c>
      <c r="S1607" t="str">
        <f>"9780887848896"</f>
        <v>9780887848896</v>
      </c>
      <c r="T1607">
        <v>772844684</v>
      </c>
    </row>
    <row r="1608" spans="1:20" x14ac:dyDescent="0.25">
      <c r="A1608">
        <v>488898</v>
      </c>
      <c r="B1608" t="s">
        <v>7890</v>
      </c>
      <c r="C1608" t="s">
        <v>7891</v>
      </c>
      <c r="D1608" t="s">
        <v>1151</v>
      </c>
      <c r="E1608" t="s">
        <v>6323</v>
      </c>
      <c r="F1608">
        <v>1995</v>
      </c>
      <c r="G1608" t="s">
        <v>2417</v>
      </c>
      <c r="H1608" t="s">
        <v>7892</v>
      </c>
      <c r="I1608" t="s">
        <v>7893</v>
      </c>
      <c r="J1608" t="s">
        <v>26</v>
      </c>
      <c r="K1608" t="s">
        <v>27</v>
      </c>
      <c r="L1608" t="b">
        <v>1</v>
      </c>
      <c r="M1608" t="s">
        <v>7894</v>
      </c>
      <c r="N1608" t="str">
        <f>"810.9/971"</f>
        <v>810.9/971</v>
      </c>
      <c r="P1608" t="b">
        <v>0</v>
      </c>
      <c r="R1608" t="str">
        <f>"9780887845727"</f>
        <v>9780887845727</v>
      </c>
      <c r="S1608" t="str">
        <f>"9780887848780"</f>
        <v>9780887848780</v>
      </c>
      <c r="T1608">
        <v>763156610</v>
      </c>
    </row>
    <row r="1609" spans="1:20" x14ac:dyDescent="0.25">
      <c r="A1609">
        <v>488895</v>
      </c>
      <c r="B1609" t="s">
        <v>7895</v>
      </c>
      <c r="C1609" t="s">
        <v>7896</v>
      </c>
      <c r="D1609" t="s">
        <v>1151</v>
      </c>
      <c r="E1609" t="s">
        <v>6323</v>
      </c>
      <c r="F1609">
        <v>2011</v>
      </c>
      <c r="G1609" t="s">
        <v>1649</v>
      </c>
      <c r="H1609" t="s">
        <v>7897</v>
      </c>
      <c r="I1609" t="s">
        <v>7898</v>
      </c>
      <c r="J1609" t="s">
        <v>26</v>
      </c>
      <c r="K1609" t="s">
        <v>27</v>
      </c>
      <c r="L1609" t="b">
        <v>1</v>
      </c>
      <c r="M1609" t="s">
        <v>7899</v>
      </c>
      <c r="N1609" t="str">
        <f>"172/.4"</f>
        <v>172/.4</v>
      </c>
      <c r="P1609" t="b">
        <v>0</v>
      </c>
      <c r="R1609" t="str">
        <f>"9780887845147"</f>
        <v>9780887845147</v>
      </c>
      <c r="S1609" t="str">
        <f>"9780887848766"</f>
        <v>9780887848766</v>
      </c>
      <c r="T1609">
        <v>753480394</v>
      </c>
    </row>
    <row r="1610" spans="1:20" x14ac:dyDescent="0.25">
      <c r="A1610">
        <v>488874</v>
      </c>
      <c r="B1610" t="s">
        <v>7900</v>
      </c>
      <c r="D1610" t="s">
        <v>1151</v>
      </c>
      <c r="E1610" t="s">
        <v>6323</v>
      </c>
      <c r="F1610">
        <v>2011</v>
      </c>
      <c r="G1610" t="s">
        <v>2417</v>
      </c>
      <c r="H1610" t="s">
        <v>7901</v>
      </c>
      <c r="I1610" t="s">
        <v>7902</v>
      </c>
      <c r="J1610" t="s">
        <v>26</v>
      </c>
      <c r="K1610" t="s">
        <v>27</v>
      </c>
      <c r="L1610" t="b">
        <v>1</v>
      </c>
      <c r="M1610" t="s">
        <v>7903</v>
      </c>
      <c r="N1610" t="str">
        <f>"810.9/005"</f>
        <v>810.9/005</v>
      </c>
      <c r="O1610" t="s">
        <v>7904</v>
      </c>
      <c r="P1610" t="b">
        <v>0</v>
      </c>
      <c r="R1610" t="str">
        <f>"9780887845246"</f>
        <v>9780887845246</v>
      </c>
      <c r="S1610" t="str">
        <f>"9780887848612"</f>
        <v>9780887848612</v>
      </c>
      <c r="T1610">
        <v>753480382</v>
      </c>
    </row>
    <row r="1611" spans="1:20" x14ac:dyDescent="0.25">
      <c r="A1611">
        <v>488857</v>
      </c>
      <c r="B1611" t="s">
        <v>7905</v>
      </c>
      <c r="C1611" t="s">
        <v>7906</v>
      </c>
      <c r="D1611" t="s">
        <v>1151</v>
      </c>
      <c r="E1611" t="s">
        <v>6323</v>
      </c>
      <c r="F1611">
        <v>2010</v>
      </c>
      <c r="G1611" t="s">
        <v>7907</v>
      </c>
      <c r="H1611" t="s">
        <v>7908</v>
      </c>
      <c r="I1611" t="s">
        <v>7909</v>
      </c>
      <c r="J1611" t="s">
        <v>26</v>
      </c>
      <c r="K1611" t="s">
        <v>27</v>
      </c>
      <c r="L1611" t="b">
        <v>1</v>
      </c>
      <c r="M1611" t="s">
        <v>7910</v>
      </c>
      <c r="N1611" t="str">
        <f>"261.8"</f>
        <v>261.8</v>
      </c>
      <c r="O1611" t="s">
        <v>7889</v>
      </c>
      <c r="P1611" t="b">
        <v>0</v>
      </c>
      <c r="R1611" t="str">
        <f>"9780887845321"</f>
        <v>9780887845321</v>
      </c>
      <c r="S1611" t="str">
        <f>"9780887848513"</f>
        <v>9780887848513</v>
      </c>
      <c r="T1611">
        <v>710993598</v>
      </c>
    </row>
    <row r="1612" spans="1:20" x14ac:dyDescent="0.25">
      <c r="A1612">
        <v>488854</v>
      </c>
      <c r="B1612" t="s">
        <v>7911</v>
      </c>
      <c r="D1612" t="s">
        <v>1151</v>
      </c>
      <c r="E1612" t="s">
        <v>6323</v>
      </c>
      <c r="F1612">
        <v>2010</v>
      </c>
      <c r="G1612" t="s">
        <v>2014</v>
      </c>
      <c r="H1612" t="s">
        <v>7912</v>
      </c>
      <c r="I1612" t="s">
        <v>7913</v>
      </c>
      <c r="J1612" t="s">
        <v>26</v>
      </c>
      <c r="K1612" t="s">
        <v>27</v>
      </c>
      <c r="L1612" t="b">
        <v>1</v>
      </c>
      <c r="M1612" t="s">
        <v>7914</v>
      </c>
      <c r="N1612" t="str">
        <f>"149/.8"</f>
        <v>149/.8</v>
      </c>
      <c r="O1612" t="s">
        <v>7915</v>
      </c>
      <c r="P1612" t="b">
        <v>0</v>
      </c>
      <c r="R1612" t="str">
        <f>"9780887846793"</f>
        <v>9780887846793</v>
      </c>
      <c r="S1612" t="str">
        <f>"9780887848469"</f>
        <v>9780887848469</v>
      </c>
      <c r="T1612">
        <v>710993277</v>
      </c>
    </row>
    <row r="1613" spans="1:20" x14ac:dyDescent="0.25">
      <c r="A1613">
        <v>488786</v>
      </c>
      <c r="B1613" t="s">
        <v>7916</v>
      </c>
      <c r="D1613" t="s">
        <v>131</v>
      </c>
      <c r="E1613" t="s">
        <v>1144</v>
      </c>
      <c r="F1613">
        <v>2011</v>
      </c>
      <c r="G1613" t="s">
        <v>1200</v>
      </c>
      <c r="H1613" t="s">
        <v>7917</v>
      </c>
      <c r="I1613" t="s">
        <v>7918</v>
      </c>
      <c r="J1613" t="s">
        <v>26</v>
      </c>
      <c r="K1613" t="s">
        <v>86</v>
      </c>
      <c r="L1613" t="b">
        <v>1</v>
      </c>
      <c r="M1613" t="s">
        <v>7919</v>
      </c>
      <c r="N1613" t="str">
        <f>"C813/.54"</f>
        <v>C813/.54</v>
      </c>
      <c r="P1613" t="b">
        <v>1</v>
      </c>
      <c r="R1613" t="str">
        <f>"9781926845159"</f>
        <v>9781926845159</v>
      </c>
      <c r="S1613" t="str">
        <f>"9781926845333"</f>
        <v>9781926845333</v>
      </c>
      <c r="T1613">
        <v>759159728</v>
      </c>
    </row>
    <row r="1614" spans="1:20" x14ac:dyDescent="0.25">
      <c r="A1614">
        <v>488783</v>
      </c>
      <c r="B1614" t="s">
        <v>7920</v>
      </c>
      <c r="C1614" t="s">
        <v>7921</v>
      </c>
      <c r="D1614" t="s">
        <v>131</v>
      </c>
      <c r="E1614" t="s">
        <v>1144</v>
      </c>
      <c r="F1614">
        <v>2012</v>
      </c>
      <c r="G1614" t="s">
        <v>7922</v>
      </c>
      <c r="H1614" t="s">
        <v>7923</v>
      </c>
      <c r="I1614" t="s">
        <v>7924</v>
      </c>
      <c r="J1614" t="s">
        <v>26</v>
      </c>
      <c r="K1614" t="s">
        <v>86</v>
      </c>
      <c r="L1614" t="b">
        <v>1</v>
      </c>
      <c r="M1614" t="s">
        <v>7925</v>
      </c>
      <c r="N1614" t="str">
        <f>"808.02"</f>
        <v>808.02</v>
      </c>
      <c r="P1614" t="b">
        <v>0</v>
      </c>
      <c r="R1614" t="str">
        <f>"9781926845463"</f>
        <v>9781926845463</v>
      </c>
      <c r="S1614" t="str">
        <f>"9781926845470"</f>
        <v>9781926845470</v>
      </c>
      <c r="T1614">
        <v>787843876</v>
      </c>
    </row>
    <row r="1615" spans="1:20" x14ac:dyDescent="0.25">
      <c r="A1615">
        <v>486976</v>
      </c>
      <c r="B1615" t="s">
        <v>7926</v>
      </c>
      <c r="C1615" t="s">
        <v>7927</v>
      </c>
      <c r="D1615" t="s">
        <v>7928</v>
      </c>
      <c r="E1615" t="s">
        <v>7928</v>
      </c>
      <c r="F1615">
        <v>2010</v>
      </c>
      <c r="G1615" t="s">
        <v>4782</v>
      </c>
      <c r="H1615" t="s">
        <v>7929</v>
      </c>
      <c r="I1615" t="s">
        <v>7930</v>
      </c>
      <c r="J1615" t="s">
        <v>26</v>
      </c>
      <c r="K1615" t="s">
        <v>27</v>
      </c>
      <c r="L1615" t="b">
        <v>1</v>
      </c>
      <c r="M1615" t="s">
        <v>7931</v>
      </c>
      <c r="N1615" t="str">
        <f>"331.88/1770092;331.881770092"</f>
        <v>331.88/1770092;331.881770092</v>
      </c>
      <c r="O1615" t="s">
        <v>7932</v>
      </c>
      <c r="P1615" t="b">
        <v>0</v>
      </c>
      <c r="R1615" t="str">
        <f>"9780813034867"</f>
        <v>9780813034867</v>
      </c>
      <c r="S1615" t="str">
        <f>"9780813042978"</f>
        <v>9780813042978</v>
      </c>
      <c r="T1615">
        <v>811507120</v>
      </c>
    </row>
    <row r="1616" spans="1:20" x14ac:dyDescent="0.25">
      <c r="A1616">
        <v>485326</v>
      </c>
      <c r="B1616" t="s">
        <v>7933</v>
      </c>
      <c r="C1616" t="s">
        <v>7934</v>
      </c>
      <c r="D1616" t="s">
        <v>131</v>
      </c>
      <c r="E1616" t="s">
        <v>1885</v>
      </c>
      <c r="F1616">
        <v>2012</v>
      </c>
      <c r="G1616" t="s">
        <v>7935</v>
      </c>
      <c r="H1616" t="s">
        <v>7936</v>
      </c>
      <c r="I1616" t="s">
        <v>7937</v>
      </c>
      <c r="J1616" t="s">
        <v>26</v>
      </c>
      <c r="K1616" t="s">
        <v>86</v>
      </c>
      <c r="L1616" t="b">
        <v>1</v>
      </c>
      <c r="M1616" t="s">
        <v>7938</v>
      </c>
      <c r="N1616" t="str">
        <f>"001.9"</f>
        <v>001.9</v>
      </c>
      <c r="P1616" t="b">
        <v>0</v>
      </c>
      <c r="Q1616" t="b">
        <v>0</v>
      </c>
      <c r="R1616" t="str">
        <f>"9781578593682"</f>
        <v>9781578593682</v>
      </c>
      <c r="S1616" t="str">
        <f>"9781578593859"</f>
        <v>9781578593859</v>
      </c>
      <c r="T1616">
        <v>792685163</v>
      </c>
    </row>
    <row r="1617" spans="1:20" x14ac:dyDescent="0.25">
      <c r="A1617">
        <v>482690</v>
      </c>
      <c r="B1617" t="s">
        <v>7939</v>
      </c>
      <c r="D1617" t="s">
        <v>131</v>
      </c>
      <c r="E1617" t="s">
        <v>4781</v>
      </c>
      <c r="F1617">
        <v>2012</v>
      </c>
      <c r="G1617" t="s">
        <v>283</v>
      </c>
      <c r="H1617" t="s">
        <v>7940</v>
      </c>
      <c r="I1617" t="s">
        <v>7941</v>
      </c>
      <c r="J1617" t="s">
        <v>26</v>
      </c>
      <c r="K1617" t="s">
        <v>86</v>
      </c>
      <c r="L1617" t="b">
        <v>1</v>
      </c>
      <c r="M1617" t="s">
        <v>7942</v>
      </c>
      <c r="N1617" t="str">
        <f>"306.874/2"</f>
        <v>306.874/2</v>
      </c>
      <c r="P1617" t="b">
        <v>0</v>
      </c>
      <c r="R1617" t="str">
        <f>"9780983294436"</f>
        <v>9780983294436</v>
      </c>
      <c r="S1617" t="str">
        <f>"9780983934639"</f>
        <v>9780983934639</v>
      </c>
      <c r="T1617">
        <v>802040837</v>
      </c>
    </row>
    <row r="1618" spans="1:20" x14ac:dyDescent="0.25">
      <c r="A1618">
        <v>482689</v>
      </c>
      <c r="B1618" t="s">
        <v>7943</v>
      </c>
      <c r="D1618" t="s">
        <v>131</v>
      </c>
      <c r="E1618" t="s">
        <v>7944</v>
      </c>
      <c r="F1618">
        <v>2012</v>
      </c>
      <c r="G1618" t="s">
        <v>7945</v>
      </c>
      <c r="H1618" t="s">
        <v>7946</v>
      </c>
      <c r="I1618" t="s">
        <v>7947</v>
      </c>
      <c r="J1618" t="s">
        <v>26</v>
      </c>
      <c r="K1618" t="s">
        <v>86</v>
      </c>
      <c r="L1618" t="b">
        <v>1</v>
      </c>
      <c r="M1618" t="s">
        <v>7948</v>
      </c>
      <c r="N1618" t="str">
        <f>"510"</f>
        <v>510</v>
      </c>
      <c r="P1618" t="b">
        <v>0</v>
      </c>
      <c r="R1618" t="str">
        <f>"9781884550638"</f>
        <v>9781884550638</v>
      </c>
      <c r="S1618" t="str">
        <f>"9781884550645"</f>
        <v>9781884550645</v>
      </c>
      <c r="T1618">
        <v>784884637</v>
      </c>
    </row>
    <row r="1619" spans="1:20" x14ac:dyDescent="0.25">
      <c r="A1619">
        <v>482386</v>
      </c>
      <c r="B1619" t="s">
        <v>7949</v>
      </c>
      <c r="C1619" t="s">
        <v>7950</v>
      </c>
      <c r="D1619" t="s">
        <v>131</v>
      </c>
      <c r="E1619" t="s">
        <v>1737</v>
      </c>
      <c r="F1619">
        <v>2012</v>
      </c>
      <c r="G1619" t="s">
        <v>3190</v>
      </c>
      <c r="H1619" t="s">
        <v>7951</v>
      </c>
      <c r="I1619" t="s">
        <v>7952</v>
      </c>
      <c r="J1619" t="s">
        <v>26</v>
      </c>
      <c r="K1619" t="s">
        <v>86</v>
      </c>
      <c r="L1619" t="b">
        <v>1</v>
      </c>
      <c r="M1619" t="s">
        <v>7953</v>
      </c>
      <c r="N1619" t="str">
        <f>"792.8"</f>
        <v>792.8</v>
      </c>
      <c r="P1619" t="b">
        <v>0</v>
      </c>
      <c r="R1619" t="str">
        <f>"9781926812663"</f>
        <v>9781926812663</v>
      </c>
      <c r="S1619" t="str">
        <f>"9781926812670"</f>
        <v>9781926812670</v>
      </c>
      <c r="T1619">
        <v>815757050</v>
      </c>
    </row>
    <row r="1620" spans="1:20" x14ac:dyDescent="0.25">
      <c r="A1620">
        <v>482383</v>
      </c>
      <c r="B1620" t="s">
        <v>7954</v>
      </c>
      <c r="C1620" t="s">
        <v>7955</v>
      </c>
      <c r="D1620" t="s">
        <v>131</v>
      </c>
      <c r="E1620" t="s">
        <v>1737</v>
      </c>
      <c r="F1620">
        <v>2012</v>
      </c>
      <c r="G1620" t="s">
        <v>2355</v>
      </c>
      <c r="H1620" t="s">
        <v>7956</v>
      </c>
      <c r="I1620" t="s">
        <v>7957</v>
      </c>
      <c r="J1620" t="s">
        <v>26</v>
      </c>
      <c r="K1620" t="s">
        <v>86</v>
      </c>
      <c r="L1620" t="b">
        <v>1</v>
      </c>
      <c r="M1620" t="s">
        <v>7958</v>
      </c>
      <c r="N1620" t="str">
        <f>"782.42164092"</f>
        <v>782.42164092</v>
      </c>
      <c r="P1620" t="b">
        <v>0</v>
      </c>
      <c r="R1620" t="str">
        <f>"9781553658375"</f>
        <v>9781553658375</v>
      </c>
      <c r="S1620" t="str">
        <f>"9781553658382"</f>
        <v>9781553658382</v>
      </c>
      <c r="T1620">
        <v>809995828</v>
      </c>
    </row>
    <row r="1621" spans="1:20" x14ac:dyDescent="0.25">
      <c r="A1621">
        <v>482160</v>
      </c>
      <c r="B1621" t="s">
        <v>7959</v>
      </c>
      <c r="C1621" t="s">
        <v>7960</v>
      </c>
      <c r="D1621" t="s">
        <v>131</v>
      </c>
      <c r="E1621" t="s">
        <v>7961</v>
      </c>
      <c r="F1621">
        <v>2012</v>
      </c>
      <c r="G1621" t="s">
        <v>7962</v>
      </c>
      <c r="H1621" t="s">
        <v>7963</v>
      </c>
      <c r="I1621" t="s">
        <v>7964</v>
      </c>
      <c r="J1621" t="s">
        <v>26</v>
      </c>
      <c r="K1621" t="s">
        <v>86</v>
      </c>
      <c r="L1621" t="b">
        <v>1</v>
      </c>
      <c r="M1621" t="s">
        <v>7965</v>
      </c>
      <c r="N1621" t="str">
        <f>"701.15"</f>
        <v>701.15</v>
      </c>
      <c r="P1621" t="b">
        <v>0</v>
      </c>
      <c r="R1621" t="str">
        <f>"9780961454753"</f>
        <v>9780961454753</v>
      </c>
      <c r="S1621" t="str">
        <f>"9780961454760"</f>
        <v>9780961454760</v>
      </c>
      <c r="T1621">
        <v>793193087</v>
      </c>
    </row>
    <row r="1622" spans="1:20" x14ac:dyDescent="0.25">
      <c r="A1622">
        <v>481597</v>
      </c>
      <c r="B1622" t="s">
        <v>7966</v>
      </c>
      <c r="C1622" t="s">
        <v>7967</v>
      </c>
      <c r="D1622" t="s">
        <v>131</v>
      </c>
      <c r="E1622" t="s">
        <v>276</v>
      </c>
      <c r="F1622">
        <v>2012</v>
      </c>
      <c r="G1622" t="s">
        <v>277</v>
      </c>
      <c r="H1622" t="s">
        <v>7968</v>
      </c>
      <c r="I1622" t="s">
        <v>7969</v>
      </c>
      <c r="J1622" t="s">
        <v>26</v>
      </c>
      <c r="K1622" t="s">
        <v>86</v>
      </c>
      <c r="L1622" t="b">
        <v>1</v>
      </c>
      <c r="M1622" t="s">
        <v>7970</v>
      </c>
      <c r="N1622" t="str">
        <f>"919.69/1044;919.691044;919.6910442"</f>
        <v>919.69/1044;919.691044;919.6910442</v>
      </c>
      <c r="P1622" t="b">
        <v>0</v>
      </c>
      <c r="R1622" t="str">
        <f>"9781595341358"</f>
        <v>9781595341358</v>
      </c>
      <c r="S1622" t="str">
        <f>"9781595341730"</f>
        <v>9781595341730</v>
      </c>
      <c r="T1622">
        <v>811502638</v>
      </c>
    </row>
    <row r="1623" spans="1:20" x14ac:dyDescent="0.25">
      <c r="A1623">
        <v>481595</v>
      </c>
      <c r="B1623" t="s">
        <v>7971</v>
      </c>
      <c r="C1623" t="s">
        <v>7972</v>
      </c>
      <c r="D1623" t="s">
        <v>131</v>
      </c>
      <c r="E1623" t="s">
        <v>276</v>
      </c>
      <c r="F1623">
        <v>2006</v>
      </c>
      <c r="G1623" t="s">
        <v>6101</v>
      </c>
      <c r="H1623" t="s">
        <v>7973</v>
      </c>
      <c r="I1623" t="s">
        <v>7974</v>
      </c>
      <c r="J1623" t="s">
        <v>26</v>
      </c>
      <c r="K1623" t="s">
        <v>86</v>
      </c>
      <c r="L1623" t="b">
        <v>1</v>
      </c>
      <c r="M1623" t="s">
        <v>7975</v>
      </c>
      <c r="N1623" t="str">
        <f>"917.3003"</f>
        <v>917.3003</v>
      </c>
      <c r="P1623" t="b">
        <v>0</v>
      </c>
      <c r="R1623" t="str">
        <f>"9781595340573"</f>
        <v>9781595340573</v>
      </c>
      <c r="S1623" t="str">
        <f>"9781595340887"</f>
        <v>9781595340887</v>
      </c>
      <c r="T1623">
        <v>773584667</v>
      </c>
    </row>
    <row r="1624" spans="1:20" x14ac:dyDescent="0.25">
      <c r="A1624">
        <v>481594</v>
      </c>
      <c r="B1624" t="s">
        <v>7976</v>
      </c>
      <c r="C1624" t="s">
        <v>7977</v>
      </c>
      <c r="D1624" t="s">
        <v>131</v>
      </c>
      <c r="E1624" t="s">
        <v>276</v>
      </c>
      <c r="F1624">
        <v>2011</v>
      </c>
      <c r="G1624" t="s">
        <v>7978</v>
      </c>
      <c r="H1624" t="s">
        <v>7979</v>
      </c>
      <c r="I1624" t="s">
        <v>7980</v>
      </c>
      <c r="J1624" t="s">
        <v>26</v>
      </c>
      <c r="K1624" t="s">
        <v>86</v>
      </c>
      <c r="L1624" t="b">
        <v>1</v>
      </c>
      <c r="M1624" t="s">
        <v>7981</v>
      </c>
      <c r="N1624" t="str">
        <f>"513.211"</f>
        <v>513.211</v>
      </c>
      <c r="O1624" t="s">
        <v>7982</v>
      </c>
      <c r="P1624" t="b">
        <v>0</v>
      </c>
      <c r="R1624" t="str">
        <f>"9781595340801"</f>
        <v>9781595340801</v>
      </c>
      <c r="S1624" t="str">
        <f>"9781595341105"</f>
        <v>9781595341105</v>
      </c>
      <c r="T1624">
        <v>811502645</v>
      </c>
    </row>
    <row r="1625" spans="1:20" x14ac:dyDescent="0.25">
      <c r="A1625">
        <v>481593</v>
      </c>
      <c r="B1625" t="s">
        <v>7983</v>
      </c>
      <c r="D1625" t="s">
        <v>131</v>
      </c>
      <c r="E1625" t="s">
        <v>276</v>
      </c>
      <c r="F1625">
        <v>2009</v>
      </c>
      <c r="G1625" t="s">
        <v>1968</v>
      </c>
      <c r="H1625" t="s">
        <v>7984</v>
      </c>
      <c r="I1625" t="s">
        <v>7985</v>
      </c>
      <c r="J1625" t="s">
        <v>26</v>
      </c>
      <c r="K1625" t="s">
        <v>86</v>
      </c>
      <c r="L1625" t="b">
        <v>1</v>
      </c>
      <c r="M1625" t="s">
        <v>7986</v>
      </c>
      <c r="N1625" t="str">
        <f>"814/.6"</f>
        <v>814/.6</v>
      </c>
      <c r="P1625" t="b">
        <v>1</v>
      </c>
      <c r="R1625" t="str">
        <f>"9781595340375"</f>
        <v>9781595340375</v>
      </c>
      <c r="S1625" t="str">
        <f>"9781595341204"</f>
        <v>9781595341204</v>
      </c>
      <c r="T1625">
        <v>811842563</v>
      </c>
    </row>
    <row r="1626" spans="1:20" x14ac:dyDescent="0.25">
      <c r="A1626">
        <v>481592</v>
      </c>
      <c r="B1626" t="s">
        <v>7987</v>
      </c>
      <c r="C1626" t="s">
        <v>7988</v>
      </c>
      <c r="D1626" t="s">
        <v>131</v>
      </c>
      <c r="E1626" t="s">
        <v>276</v>
      </c>
      <c r="F1626">
        <v>2012</v>
      </c>
      <c r="G1626" t="s">
        <v>4098</v>
      </c>
      <c r="H1626" t="s">
        <v>7989</v>
      </c>
      <c r="J1626" t="s">
        <v>26</v>
      </c>
      <c r="K1626" t="s">
        <v>86</v>
      </c>
      <c r="L1626" t="b">
        <v>1</v>
      </c>
      <c r="M1626" t="s">
        <v>280</v>
      </c>
      <c r="N1626" t="str">
        <f>"976.4351"</f>
        <v>976.4351</v>
      </c>
      <c r="P1626" t="b">
        <v>0</v>
      </c>
      <c r="R1626" t="str">
        <f>"9781595340078"</f>
        <v>9781595340078</v>
      </c>
      <c r="S1626" t="str">
        <f>"9781595341211"</f>
        <v>9781595341211</v>
      </c>
      <c r="T1626">
        <v>811505002</v>
      </c>
    </row>
    <row r="1627" spans="1:20" x14ac:dyDescent="0.25">
      <c r="A1627">
        <v>481591</v>
      </c>
      <c r="B1627" t="s">
        <v>7990</v>
      </c>
      <c r="C1627" t="s">
        <v>7991</v>
      </c>
      <c r="D1627" t="s">
        <v>131</v>
      </c>
      <c r="E1627" t="s">
        <v>276</v>
      </c>
      <c r="F1627">
        <v>2012</v>
      </c>
      <c r="G1627" t="s">
        <v>283</v>
      </c>
      <c r="H1627" t="s">
        <v>7992</v>
      </c>
      <c r="I1627" t="s">
        <v>7993</v>
      </c>
      <c r="J1627" t="s">
        <v>26</v>
      </c>
      <c r="K1627" t="s">
        <v>86</v>
      </c>
      <c r="L1627" t="b">
        <v>1</v>
      </c>
      <c r="M1627" t="s">
        <v>7994</v>
      </c>
      <c r="N1627" t="str">
        <f>"305.8009789"</f>
        <v>305.8009789</v>
      </c>
      <c r="P1627" t="b">
        <v>0</v>
      </c>
      <c r="R1627" t="str">
        <f>"9781595341310"</f>
        <v>9781595341310</v>
      </c>
      <c r="S1627" t="str">
        <f>"9781595341228"</f>
        <v>9781595341228</v>
      </c>
      <c r="T1627">
        <v>811490810</v>
      </c>
    </row>
    <row r="1628" spans="1:20" x14ac:dyDescent="0.25">
      <c r="A1628">
        <v>481590</v>
      </c>
      <c r="B1628" t="s">
        <v>7995</v>
      </c>
      <c r="C1628" t="s">
        <v>7996</v>
      </c>
      <c r="D1628" t="s">
        <v>131</v>
      </c>
      <c r="E1628" t="s">
        <v>276</v>
      </c>
      <c r="F1628">
        <v>2012</v>
      </c>
      <c r="G1628" t="s">
        <v>1586</v>
      </c>
      <c r="H1628" t="s">
        <v>7997</v>
      </c>
      <c r="I1628" t="s">
        <v>7998</v>
      </c>
      <c r="J1628" t="s">
        <v>26</v>
      </c>
      <c r="K1628" t="s">
        <v>86</v>
      </c>
      <c r="L1628" t="b">
        <v>1</v>
      </c>
      <c r="M1628" t="s">
        <v>7999</v>
      </c>
      <c r="N1628" t="str">
        <f>"973.927"</f>
        <v>973.927</v>
      </c>
      <c r="P1628" t="b">
        <v>0</v>
      </c>
      <c r="R1628" t="str">
        <f>"9781595341150"</f>
        <v>9781595341150</v>
      </c>
      <c r="S1628" t="str">
        <f>"9781595341174"</f>
        <v>9781595341174</v>
      </c>
      <c r="T1628">
        <v>811563002</v>
      </c>
    </row>
    <row r="1629" spans="1:20" x14ac:dyDescent="0.25">
      <c r="A1629">
        <v>481589</v>
      </c>
      <c r="B1629" t="s">
        <v>8000</v>
      </c>
      <c r="D1629" t="s">
        <v>131</v>
      </c>
      <c r="E1629" t="s">
        <v>276</v>
      </c>
      <c r="F1629">
        <v>2012</v>
      </c>
      <c r="G1629" t="s">
        <v>546</v>
      </c>
      <c r="H1629" t="s">
        <v>8001</v>
      </c>
      <c r="I1629" t="s">
        <v>8002</v>
      </c>
      <c r="J1629" t="s">
        <v>26</v>
      </c>
      <c r="K1629" t="s">
        <v>86</v>
      </c>
      <c r="L1629" t="b">
        <v>1</v>
      </c>
      <c r="M1629" t="s">
        <v>286</v>
      </c>
      <c r="N1629" t="str">
        <f>"811.54;811/.54"</f>
        <v>811.54;811/.54</v>
      </c>
      <c r="P1629" t="b">
        <v>1</v>
      </c>
      <c r="R1629" t="str">
        <f>"9781595341143"</f>
        <v>9781595341143</v>
      </c>
      <c r="S1629" t="str">
        <f>"9781595341167"</f>
        <v>9781595341167</v>
      </c>
      <c r="T1629">
        <v>811490379</v>
      </c>
    </row>
    <row r="1630" spans="1:20" x14ac:dyDescent="0.25">
      <c r="A1630">
        <v>481588</v>
      </c>
      <c r="B1630" t="s">
        <v>8003</v>
      </c>
      <c r="D1630" t="s">
        <v>131</v>
      </c>
      <c r="E1630" t="s">
        <v>276</v>
      </c>
      <c r="F1630">
        <v>2011</v>
      </c>
      <c r="G1630" t="s">
        <v>4232</v>
      </c>
      <c r="H1630" t="s">
        <v>8004</v>
      </c>
      <c r="I1630" t="s">
        <v>8005</v>
      </c>
      <c r="J1630" t="s">
        <v>26</v>
      </c>
      <c r="K1630" t="s">
        <v>86</v>
      </c>
      <c r="L1630" t="b">
        <v>1</v>
      </c>
      <c r="M1630" t="s">
        <v>8006</v>
      </c>
      <c r="N1630" t="str">
        <f>"590"</f>
        <v>590</v>
      </c>
      <c r="P1630" t="b">
        <v>0</v>
      </c>
      <c r="R1630" t="str">
        <f>"9781595340757"</f>
        <v>9781595340757</v>
      </c>
      <c r="S1630" t="str">
        <f>"9781595341112"</f>
        <v>9781595341112</v>
      </c>
      <c r="T1630">
        <v>811616272</v>
      </c>
    </row>
    <row r="1631" spans="1:20" x14ac:dyDescent="0.25">
      <c r="A1631">
        <v>481587</v>
      </c>
      <c r="B1631" t="s">
        <v>8007</v>
      </c>
      <c r="C1631" t="s">
        <v>8008</v>
      </c>
      <c r="D1631" t="s">
        <v>131</v>
      </c>
      <c r="E1631" t="s">
        <v>276</v>
      </c>
      <c r="F1631">
        <v>2005</v>
      </c>
      <c r="G1631" t="s">
        <v>2417</v>
      </c>
      <c r="H1631" t="s">
        <v>8009</v>
      </c>
      <c r="I1631" t="s">
        <v>8010</v>
      </c>
      <c r="J1631" t="s">
        <v>26</v>
      </c>
      <c r="K1631" t="s">
        <v>86</v>
      </c>
      <c r="L1631" t="b">
        <v>1</v>
      </c>
      <c r="M1631" t="s">
        <v>8011</v>
      </c>
      <c r="N1631" t="str">
        <f>"810.9/32/0904"</f>
        <v>810.9/32/0904</v>
      </c>
      <c r="P1631" t="b">
        <v>0</v>
      </c>
      <c r="R1631" t="str">
        <f>"9781595340184"</f>
        <v>9781595340184</v>
      </c>
      <c r="S1631" t="str">
        <f>"9781595340931"</f>
        <v>9781595340931</v>
      </c>
      <c r="T1631">
        <v>811563663</v>
      </c>
    </row>
    <row r="1632" spans="1:20" x14ac:dyDescent="0.25">
      <c r="A1632">
        <v>481586</v>
      </c>
      <c r="B1632" t="s">
        <v>8012</v>
      </c>
      <c r="D1632" t="s">
        <v>131</v>
      </c>
      <c r="E1632" t="s">
        <v>276</v>
      </c>
      <c r="F1632">
        <v>2010</v>
      </c>
      <c r="G1632" t="s">
        <v>289</v>
      </c>
      <c r="H1632" t="s">
        <v>8013</v>
      </c>
      <c r="I1632" t="s">
        <v>8014</v>
      </c>
      <c r="J1632" t="s">
        <v>26</v>
      </c>
      <c r="K1632" t="s">
        <v>86</v>
      </c>
      <c r="L1632" t="b">
        <v>1</v>
      </c>
      <c r="M1632" t="s">
        <v>8015</v>
      </c>
      <c r="N1632" t="str">
        <f>"814/.54"</f>
        <v>814/.54</v>
      </c>
      <c r="P1632" t="b">
        <v>1</v>
      </c>
      <c r="R1632" t="str">
        <f>"9781595340672"</f>
        <v>9781595340672</v>
      </c>
      <c r="S1632" t="str">
        <f>"9781595341068"</f>
        <v>9781595341068</v>
      </c>
      <c r="T1632">
        <v>759158455</v>
      </c>
    </row>
    <row r="1633" spans="1:20" x14ac:dyDescent="0.25">
      <c r="A1633">
        <v>481585</v>
      </c>
      <c r="B1633" t="s">
        <v>8016</v>
      </c>
      <c r="C1633" t="s">
        <v>8017</v>
      </c>
      <c r="D1633" t="s">
        <v>131</v>
      </c>
      <c r="E1633" t="s">
        <v>276</v>
      </c>
      <c r="F1633">
        <v>2005</v>
      </c>
      <c r="G1633" t="s">
        <v>1681</v>
      </c>
      <c r="H1633" t="s">
        <v>8018</v>
      </c>
      <c r="J1633" t="s">
        <v>26</v>
      </c>
      <c r="K1633" t="s">
        <v>86</v>
      </c>
      <c r="L1633" t="b">
        <v>1</v>
      </c>
      <c r="M1633" t="s">
        <v>7074</v>
      </c>
      <c r="N1633" t="str">
        <f>"919.8904"</f>
        <v>919.8904</v>
      </c>
      <c r="P1633" t="b">
        <v>0</v>
      </c>
      <c r="R1633" t="str">
        <f>"9781595340153"</f>
        <v>9781595340153</v>
      </c>
      <c r="S1633" t="str">
        <f>"9781595341006"</f>
        <v>9781595341006</v>
      </c>
      <c r="T1633">
        <v>609039072</v>
      </c>
    </row>
    <row r="1634" spans="1:20" x14ac:dyDescent="0.25">
      <c r="A1634">
        <v>481584</v>
      </c>
      <c r="B1634" t="s">
        <v>8019</v>
      </c>
      <c r="C1634" t="s">
        <v>8020</v>
      </c>
      <c r="D1634" t="s">
        <v>131</v>
      </c>
      <c r="E1634" t="s">
        <v>276</v>
      </c>
      <c r="F1634">
        <v>2011</v>
      </c>
      <c r="G1634" t="s">
        <v>8021</v>
      </c>
      <c r="H1634" t="s">
        <v>8022</v>
      </c>
      <c r="I1634" t="s">
        <v>8023</v>
      </c>
      <c r="J1634" t="s">
        <v>26</v>
      </c>
      <c r="K1634" t="s">
        <v>86</v>
      </c>
      <c r="L1634" t="b">
        <v>1</v>
      </c>
      <c r="M1634" t="s">
        <v>8024</v>
      </c>
      <c r="N1634" t="str">
        <f>"203.1092"</f>
        <v>203.1092</v>
      </c>
      <c r="P1634" t="b">
        <v>0</v>
      </c>
      <c r="R1634" t="str">
        <f>"9781595340658"</f>
        <v>9781595340658</v>
      </c>
      <c r="S1634" t="str">
        <f>"9781595341044"</f>
        <v>9781595341044</v>
      </c>
      <c r="T1634">
        <v>747410743</v>
      </c>
    </row>
    <row r="1635" spans="1:20" x14ac:dyDescent="0.25">
      <c r="A1635">
        <v>481583</v>
      </c>
      <c r="B1635" t="s">
        <v>8025</v>
      </c>
      <c r="D1635" t="s">
        <v>131</v>
      </c>
      <c r="E1635" t="s">
        <v>276</v>
      </c>
      <c r="F1635">
        <v>2008</v>
      </c>
      <c r="G1635" t="s">
        <v>4548</v>
      </c>
      <c r="H1635" t="s">
        <v>8026</v>
      </c>
      <c r="I1635" t="s">
        <v>8027</v>
      </c>
      <c r="J1635" t="s">
        <v>26</v>
      </c>
      <c r="K1635" t="s">
        <v>86</v>
      </c>
      <c r="L1635" t="b">
        <v>1</v>
      </c>
      <c r="M1635" t="s">
        <v>8028</v>
      </c>
      <c r="N1635" t="str">
        <f>"811/.009382232"</f>
        <v>811/.009382232</v>
      </c>
      <c r="P1635" t="b">
        <v>1</v>
      </c>
      <c r="R1635" t="str">
        <f>"9781595340481"</f>
        <v>9781595340481</v>
      </c>
      <c r="S1635" t="str">
        <f>"9781595340962"</f>
        <v>9781595340962</v>
      </c>
      <c r="T1635">
        <v>608544824</v>
      </c>
    </row>
    <row r="1636" spans="1:20" x14ac:dyDescent="0.25">
      <c r="A1636">
        <v>481582</v>
      </c>
      <c r="B1636" t="s">
        <v>8029</v>
      </c>
      <c r="C1636" t="s">
        <v>8030</v>
      </c>
      <c r="D1636" t="s">
        <v>131</v>
      </c>
      <c r="E1636" t="s">
        <v>276</v>
      </c>
      <c r="F1636">
        <v>2010</v>
      </c>
      <c r="G1636" t="s">
        <v>1681</v>
      </c>
      <c r="H1636" t="s">
        <v>8031</v>
      </c>
      <c r="I1636" t="s">
        <v>8032</v>
      </c>
      <c r="J1636" t="s">
        <v>26</v>
      </c>
      <c r="K1636" t="s">
        <v>86</v>
      </c>
      <c r="L1636" t="b">
        <v>1</v>
      </c>
      <c r="M1636" t="s">
        <v>8033</v>
      </c>
      <c r="N1636" t="str">
        <f>"179/.1"</f>
        <v>179/.1</v>
      </c>
      <c r="P1636" t="b">
        <v>0</v>
      </c>
      <c r="R1636" t="str">
        <f>"9781595340665"</f>
        <v>9781595340665</v>
      </c>
      <c r="S1636" t="str">
        <f>"9781595341051"</f>
        <v>9781595341051</v>
      </c>
      <c r="T1636">
        <v>757252988</v>
      </c>
    </row>
    <row r="1637" spans="1:20" x14ac:dyDescent="0.25">
      <c r="A1637">
        <v>481581</v>
      </c>
      <c r="B1637" t="s">
        <v>8034</v>
      </c>
      <c r="C1637" t="s">
        <v>8035</v>
      </c>
      <c r="D1637" t="s">
        <v>131</v>
      </c>
      <c r="E1637" t="s">
        <v>276</v>
      </c>
      <c r="F1637">
        <v>2009</v>
      </c>
      <c r="G1637" t="s">
        <v>8036</v>
      </c>
      <c r="H1637" t="s">
        <v>8037</v>
      </c>
      <c r="I1637" t="s">
        <v>8038</v>
      </c>
      <c r="J1637" t="s">
        <v>26</v>
      </c>
      <c r="K1637" t="s">
        <v>86</v>
      </c>
      <c r="L1637" t="b">
        <v>1</v>
      </c>
      <c r="M1637" t="s">
        <v>2922</v>
      </c>
      <c r="N1637" t="str">
        <f>"371.829/97260789"</f>
        <v>371.829/97260789</v>
      </c>
      <c r="P1637" t="b">
        <v>0</v>
      </c>
      <c r="R1637" t="str">
        <f>"9781595340566"</f>
        <v>9781595340566</v>
      </c>
      <c r="S1637" t="str">
        <f>"9781595340917"</f>
        <v>9781595340917</v>
      </c>
      <c r="T1637">
        <v>759158439</v>
      </c>
    </row>
    <row r="1638" spans="1:20" x14ac:dyDescent="0.25">
      <c r="A1638">
        <v>481580</v>
      </c>
      <c r="B1638" t="s">
        <v>8039</v>
      </c>
      <c r="C1638" t="s">
        <v>8040</v>
      </c>
      <c r="D1638" t="s">
        <v>131</v>
      </c>
      <c r="E1638" t="s">
        <v>276</v>
      </c>
      <c r="F1638">
        <v>2011</v>
      </c>
      <c r="G1638" t="s">
        <v>577</v>
      </c>
      <c r="H1638" t="s">
        <v>8041</v>
      </c>
      <c r="I1638" t="s">
        <v>8042</v>
      </c>
      <c r="J1638" t="s">
        <v>26</v>
      </c>
      <c r="K1638" t="s">
        <v>86</v>
      </c>
      <c r="L1638" t="b">
        <v>1</v>
      </c>
      <c r="M1638" t="s">
        <v>8043</v>
      </c>
      <c r="N1638" t="str">
        <f>"811.54"</f>
        <v>811.54</v>
      </c>
      <c r="P1638" t="b">
        <v>0</v>
      </c>
      <c r="R1638" t="str">
        <f>"9781595340115"</f>
        <v>9781595340115</v>
      </c>
      <c r="S1638" t="str">
        <f>"9781595340900"</f>
        <v>9781595340900</v>
      </c>
      <c r="T1638">
        <v>747410697</v>
      </c>
    </row>
    <row r="1639" spans="1:20" x14ac:dyDescent="0.25">
      <c r="A1639">
        <v>481579</v>
      </c>
      <c r="B1639" t="s">
        <v>8044</v>
      </c>
      <c r="D1639" t="s">
        <v>131</v>
      </c>
      <c r="E1639" t="s">
        <v>276</v>
      </c>
      <c r="F1639">
        <v>2011</v>
      </c>
      <c r="G1639" t="s">
        <v>289</v>
      </c>
      <c r="H1639" t="s">
        <v>8045</v>
      </c>
      <c r="I1639" t="s">
        <v>8046</v>
      </c>
      <c r="J1639" t="s">
        <v>26</v>
      </c>
      <c r="K1639" t="s">
        <v>86</v>
      </c>
      <c r="L1639" t="b">
        <v>1</v>
      </c>
      <c r="M1639" t="s">
        <v>8047</v>
      </c>
      <c r="N1639" t="str">
        <f>"976.496"</f>
        <v>976.496</v>
      </c>
      <c r="P1639" t="b">
        <v>0</v>
      </c>
      <c r="R1639" t="str">
        <f>"9781595340269"</f>
        <v>9781595340269</v>
      </c>
      <c r="S1639" t="str">
        <f>"9781595340894"</f>
        <v>9781595340894</v>
      </c>
      <c r="T1639">
        <v>747410695</v>
      </c>
    </row>
    <row r="1640" spans="1:20" x14ac:dyDescent="0.25">
      <c r="A1640">
        <v>481578</v>
      </c>
      <c r="B1640" t="s">
        <v>8048</v>
      </c>
      <c r="C1640" t="s">
        <v>8049</v>
      </c>
      <c r="D1640" t="s">
        <v>131</v>
      </c>
      <c r="E1640" t="s">
        <v>276</v>
      </c>
      <c r="F1640">
        <v>2011</v>
      </c>
      <c r="G1640" t="s">
        <v>2771</v>
      </c>
      <c r="H1640" t="s">
        <v>8050</v>
      </c>
      <c r="I1640" t="s">
        <v>8051</v>
      </c>
      <c r="J1640" t="s">
        <v>26</v>
      </c>
      <c r="K1640" t="s">
        <v>86</v>
      </c>
      <c r="L1640" t="b">
        <v>1</v>
      </c>
      <c r="M1640" t="s">
        <v>8052</v>
      </c>
      <c r="N1640" t="str">
        <f>"808.3"</f>
        <v>808.3</v>
      </c>
      <c r="P1640" t="b">
        <v>1</v>
      </c>
      <c r="R1640" t="str">
        <f>"9781595340726"</f>
        <v>9781595340726</v>
      </c>
      <c r="S1640" t="str">
        <f>"9781595341075"</f>
        <v>9781595341075</v>
      </c>
      <c r="T1640">
        <v>759158459</v>
      </c>
    </row>
    <row r="1641" spans="1:20" x14ac:dyDescent="0.25">
      <c r="A1641">
        <v>480782</v>
      </c>
      <c r="B1641" t="s">
        <v>8053</v>
      </c>
      <c r="C1641" t="s">
        <v>8054</v>
      </c>
      <c r="D1641" t="s">
        <v>123</v>
      </c>
      <c r="E1641" t="s">
        <v>219</v>
      </c>
      <c r="F1641">
        <v>2012</v>
      </c>
      <c r="G1641" t="s">
        <v>2937</v>
      </c>
      <c r="H1641" t="s">
        <v>8055</v>
      </c>
      <c r="I1641" t="s">
        <v>8056</v>
      </c>
      <c r="J1641" t="s">
        <v>26</v>
      </c>
      <c r="K1641" t="s">
        <v>48</v>
      </c>
      <c r="L1641" t="b">
        <v>1</v>
      </c>
      <c r="M1641" t="s">
        <v>8057</v>
      </c>
      <c r="N1641" t="str">
        <f>"294.3927"</f>
        <v>294.3927</v>
      </c>
      <c r="P1641" t="b">
        <v>0</v>
      </c>
      <c r="R1641" t="str">
        <f>"9781614290391"</f>
        <v>9781614290391</v>
      </c>
      <c r="S1641" t="str">
        <f>"9781614290438"</f>
        <v>9781614290438</v>
      </c>
      <c r="T1641">
        <v>811501337</v>
      </c>
    </row>
    <row r="1642" spans="1:20" x14ac:dyDescent="0.25">
      <c r="A1642">
        <v>480768</v>
      </c>
      <c r="B1642" t="s">
        <v>8058</v>
      </c>
      <c r="C1642" t="s">
        <v>8059</v>
      </c>
      <c r="D1642" t="s">
        <v>123</v>
      </c>
      <c r="E1642" t="s">
        <v>219</v>
      </c>
      <c r="F1642">
        <v>2012</v>
      </c>
      <c r="G1642" t="s">
        <v>4548</v>
      </c>
      <c r="H1642" t="s">
        <v>8060</v>
      </c>
      <c r="I1642" t="s">
        <v>8061</v>
      </c>
      <c r="J1642" t="s">
        <v>26</v>
      </c>
      <c r="K1642" t="s">
        <v>48</v>
      </c>
      <c r="L1642" t="b">
        <v>1</v>
      </c>
      <c r="M1642" t="s">
        <v>8062</v>
      </c>
      <c r="N1642" t="str">
        <f>"895.1/1480809287;895.11480809287"</f>
        <v>895.1/1480809287;895.11480809287</v>
      </c>
      <c r="P1642" t="b">
        <v>0</v>
      </c>
      <c r="Q1642" t="b">
        <v>0</v>
      </c>
      <c r="R1642" t="str">
        <f>"9780861713622"</f>
        <v>9780861713622</v>
      </c>
      <c r="S1642" t="str">
        <f>"9780861718221"</f>
        <v>9780861718221</v>
      </c>
      <c r="T1642">
        <v>795695147</v>
      </c>
    </row>
    <row r="1643" spans="1:20" x14ac:dyDescent="0.25">
      <c r="A1643">
        <v>480667</v>
      </c>
      <c r="B1643" t="s">
        <v>8063</v>
      </c>
      <c r="C1643" t="s">
        <v>8064</v>
      </c>
      <c r="D1643" t="s">
        <v>131</v>
      </c>
      <c r="E1643" t="s">
        <v>276</v>
      </c>
      <c r="F1643">
        <v>2012</v>
      </c>
      <c r="G1643" t="s">
        <v>8065</v>
      </c>
      <c r="H1643" t="s">
        <v>8066</v>
      </c>
      <c r="I1643" t="s">
        <v>8067</v>
      </c>
      <c r="J1643" t="s">
        <v>26</v>
      </c>
      <c r="K1643" t="s">
        <v>86</v>
      </c>
      <c r="L1643" t="b">
        <v>1</v>
      </c>
      <c r="M1643" t="s">
        <v>7970</v>
      </c>
      <c r="N1643" t="str">
        <f>"578.6809969;919.69"</f>
        <v>578.6809969;919.69</v>
      </c>
      <c r="P1643" t="b">
        <v>0</v>
      </c>
      <c r="R1643" t="str">
        <f>"9781595341303"</f>
        <v>9781595341303</v>
      </c>
      <c r="S1643" t="str">
        <f>"9781595341242"</f>
        <v>9781595341242</v>
      </c>
      <c r="T1643">
        <v>811502557</v>
      </c>
    </row>
    <row r="1644" spans="1:20" x14ac:dyDescent="0.25">
      <c r="A1644">
        <v>480666</v>
      </c>
      <c r="B1644" t="s">
        <v>8068</v>
      </c>
      <c r="C1644" t="s">
        <v>8069</v>
      </c>
      <c r="D1644" t="s">
        <v>131</v>
      </c>
      <c r="E1644" t="s">
        <v>276</v>
      </c>
      <c r="F1644">
        <v>2012</v>
      </c>
      <c r="G1644" t="s">
        <v>5257</v>
      </c>
      <c r="H1644" t="s">
        <v>8070</v>
      </c>
      <c r="I1644" t="s">
        <v>8071</v>
      </c>
      <c r="J1644" t="s">
        <v>26</v>
      </c>
      <c r="K1644" t="s">
        <v>86</v>
      </c>
      <c r="L1644" t="b">
        <v>1</v>
      </c>
      <c r="M1644" t="s">
        <v>8072</v>
      </c>
      <c r="N1644" t="str">
        <f>"809.899206914;809.93358;809/.899206914"</f>
        <v>809.899206914;809.93358;809/.899206914</v>
      </c>
      <c r="P1644" t="b">
        <v>1</v>
      </c>
      <c r="R1644" t="str">
        <f>"9781595340702"</f>
        <v>9781595340702</v>
      </c>
      <c r="S1644" t="str">
        <f>"9781595341136"</f>
        <v>9781595341136</v>
      </c>
      <c r="T1644">
        <v>811502552</v>
      </c>
    </row>
    <row r="1645" spans="1:20" x14ac:dyDescent="0.25">
      <c r="A1645">
        <v>480665</v>
      </c>
      <c r="B1645" t="s">
        <v>8073</v>
      </c>
      <c r="C1645" t="s">
        <v>8074</v>
      </c>
      <c r="D1645" t="s">
        <v>131</v>
      </c>
      <c r="E1645" t="s">
        <v>276</v>
      </c>
      <c r="F1645">
        <v>2009</v>
      </c>
      <c r="G1645" t="s">
        <v>283</v>
      </c>
      <c r="H1645" t="s">
        <v>8075</v>
      </c>
      <c r="I1645" t="s">
        <v>8076</v>
      </c>
      <c r="J1645" t="s">
        <v>26</v>
      </c>
      <c r="K1645" t="s">
        <v>86</v>
      </c>
      <c r="L1645" t="b">
        <v>1</v>
      </c>
      <c r="M1645" t="s">
        <v>8077</v>
      </c>
      <c r="N1645" t="str">
        <f>"814/.54"</f>
        <v>814/.54</v>
      </c>
      <c r="P1645" t="b">
        <v>0</v>
      </c>
      <c r="R1645" t="str">
        <f>"9781595340580"</f>
        <v>9781595340580</v>
      </c>
      <c r="S1645" t="str">
        <f>"9781595340924"</f>
        <v>9781595340924</v>
      </c>
      <c r="T1645">
        <v>811562983</v>
      </c>
    </row>
    <row r="1646" spans="1:20" x14ac:dyDescent="0.25">
      <c r="A1646">
        <v>480664</v>
      </c>
      <c r="B1646" t="s">
        <v>8078</v>
      </c>
      <c r="D1646" t="s">
        <v>131</v>
      </c>
      <c r="E1646" t="s">
        <v>276</v>
      </c>
      <c r="F1646">
        <v>2012</v>
      </c>
      <c r="G1646" t="s">
        <v>283</v>
      </c>
      <c r="H1646" t="s">
        <v>8079</v>
      </c>
      <c r="I1646" t="s">
        <v>8080</v>
      </c>
      <c r="J1646" t="s">
        <v>26</v>
      </c>
      <c r="K1646" t="s">
        <v>86</v>
      </c>
      <c r="L1646" t="b">
        <v>1</v>
      </c>
      <c r="M1646" t="s">
        <v>8081</v>
      </c>
      <c r="N1646" t="str">
        <f>"378.12"</f>
        <v>378.12</v>
      </c>
      <c r="P1646" t="b">
        <v>0</v>
      </c>
      <c r="R1646" t="str">
        <f>"9781595340559"</f>
        <v>9781595340559</v>
      </c>
      <c r="S1646" t="str">
        <f>"9781595341181"</f>
        <v>9781595341181</v>
      </c>
      <c r="T1646">
        <v>811502539</v>
      </c>
    </row>
    <row r="1647" spans="1:20" x14ac:dyDescent="0.25">
      <c r="A1647">
        <v>480663</v>
      </c>
      <c r="B1647" t="s">
        <v>8082</v>
      </c>
      <c r="D1647" t="s">
        <v>131</v>
      </c>
      <c r="E1647" t="s">
        <v>276</v>
      </c>
      <c r="F1647">
        <v>2012</v>
      </c>
      <c r="G1647" t="s">
        <v>7509</v>
      </c>
      <c r="H1647" t="s">
        <v>8083</v>
      </c>
      <c r="I1647" t="s">
        <v>8084</v>
      </c>
      <c r="J1647" t="s">
        <v>26</v>
      </c>
      <c r="K1647" t="s">
        <v>86</v>
      </c>
      <c r="L1647" t="b">
        <v>1</v>
      </c>
      <c r="M1647" t="s">
        <v>280</v>
      </c>
      <c r="N1647" t="str">
        <f>"976.4063"</f>
        <v>976.4063</v>
      </c>
      <c r="P1647" t="b">
        <v>0</v>
      </c>
      <c r="R1647" t="str">
        <f>"9781595340016"</f>
        <v>9781595340016</v>
      </c>
      <c r="S1647" t="str">
        <f>"9781595340870"</f>
        <v>9781595340870</v>
      </c>
      <c r="T1647">
        <v>811502546</v>
      </c>
    </row>
    <row r="1648" spans="1:20" x14ac:dyDescent="0.25">
      <c r="A1648">
        <v>477969</v>
      </c>
      <c r="B1648" t="s">
        <v>8085</v>
      </c>
      <c r="C1648" t="s">
        <v>8086</v>
      </c>
      <c r="D1648" t="s">
        <v>4090</v>
      </c>
      <c r="E1648" t="s">
        <v>4091</v>
      </c>
      <c r="F1648">
        <v>1991</v>
      </c>
      <c r="G1648" t="s">
        <v>1649</v>
      </c>
      <c r="H1648" t="s">
        <v>8087</v>
      </c>
      <c r="I1648" t="s">
        <v>8088</v>
      </c>
      <c r="J1648" t="s">
        <v>26</v>
      </c>
      <c r="K1648" t="s">
        <v>27</v>
      </c>
      <c r="L1648" t="b">
        <v>1</v>
      </c>
      <c r="M1648" t="s">
        <v>8089</v>
      </c>
      <c r="N1648" t="str">
        <f>"352.073"</f>
        <v>352.073</v>
      </c>
      <c r="P1648" t="b">
        <v>0</v>
      </c>
      <c r="R1648" t="str">
        <f>"9780803939394"</f>
        <v>9780803939394</v>
      </c>
      <c r="S1648" t="str">
        <f>"9781452252933"</f>
        <v>9781452252933</v>
      </c>
      <c r="T1648">
        <v>809774372</v>
      </c>
    </row>
    <row r="1649" spans="1:20" x14ac:dyDescent="0.25">
      <c r="A1649">
        <v>477833</v>
      </c>
      <c r="B1649" t="s">
        <v>8090</v>
      </c>
      <c r="C1649" t="s">
        <v>8091</v>
      </c>
      <c r="D1649" t="s">
        <v>131</v>
      </c>
      <c r="E1649" t="s">
        <v>2439</v>
      </c>
      <c r="F1649">
        <v>2012</v>
      </c>
      <c r="G1649" t="s">
        <v>577</v>
      </c>
      <c r="H1649" t="s">
        <v>8092</v>
      </c>
      <c r="I1649" t="s">
        <v>8093</v>
      </c>
      <c r="J1649" t="s">
        <v>26</v>
      </c>
      <c r="K1649" t="s">
        <v>86</v>
      </c>
      <c r="L1649" t="b">
        <v>1</v>
      </c>
      <c r="M1649" t="s">
        <v>8094</v>
      </c>
      <c r="N1649" t="str">
        <f>"809.1/04"</f>
        <v>809.1/04</v>
      </c>
      <c r="O1649" t="s">
        <v>8095</v>
      </c>
      <c r="P1649" t="b">
        <v>0</v>
      </c>
      <c r="R1649" t="str">
        <f>"9780823242597"</f>
        <v>9780823242597</v>
      </c>
      <c r="S1649" t="str">
        <f>"9780823242627"</f>
        <v>9780823242627</v>
      </c>
      <c r="T1649">
        <v>808366947</v>
      </c>
    </row>
    <row r="1650" spans="1:20" x14ac:dyDescent="0.25">
      <c r="A1650">
        <v>477633</v>
      </c>
      <c r="B1650" t="s">
        <v>8096</v>
      </c>
      <c r="C1650" t="s">
        <v>8097</v>
      </c>
      <c r="D1650" t="s">
        <v>131</v>
      </c>
      <c r="E1650" t="s">
        <v>5844</v>
      </c>
      <c r="F1650">
        <v>2012</v>
      </c>
      <c r="G1650" t="s">
        <v>7746</v>
      </c>
      <c r="H1650" t="s">
        <v>8098</v>
      </c>
      <c r="I1650" t="s">
        <v>8099</v>
      </c>
      <c r="J1650" t="s">
        <v>26</v>
      </c>
      <c r="K1650" t="s">
        <v>86</v>
      </c>
      <c r="L1650" t="b">
        <v>1</v>
      </c>
      <c r="M1650" t="s">
        <v>8100</v>
      </c>
      <c r="N1650" t="str">
        <f>"633.79"</f>
        <v>633.79</v>
      </c>
      <c r="O1650" t="s">
        <v>7263</v>
      </c>
      <c r="P1650" t="b">
        <v>0</v>
      </c>
      <c r="R1650" t="str">
        <f>"9781936807017"</f>
        <v>9781936807017</v>
      </c>
      <c r="S1650" t="str">
        <f>"9781936807178"</f>
        <v>9781936807178</v>
      </c>
      <c r="T1650">
        <v>787850858</v>
      </c>
    </row>
    <row r="1651" spans="1:20" x14ac:dyDescent="0.25">
      <c r="A1651">
        <v>477279</v>
      </c>
      <c r="B1651" t="s">
        <v>8101</v>
      </c>
      <c r="D1651" t="s">
        <v>240</v>
      </c>
      <c r="E1651" t="s">
        <v>1625</v>
      </c>
      <c r="F1651">
        <v>2009</v>
      </c>
      <c r="G1651" t="s">
        <v>57</v>
      </c>
      <c r="H1651" t="s">
        <v>8102</v>
      </c>
      <c r="I1651" t="s">
        <v>8103</v>
      </c>
      <c r="J1651" t="s">
        <v>26</v>
      </c>
      <c r="K1651" t="s">
        <v>27</v>
      </c>
      <c r="L1651" t="b">
        <v>1</v>
      </c>
      <c r="M1651" t="s">
        <v>8104</v>
      </c>
      <c r="N1651" t="str">
        <f>"296.1/2083068"</f>
        <v>296.1/2083068</v>
      </c>
      <c r="O1651" t="s">
        <v>5389</v>
      </c>
      <c r="P1651" t="b">
        <v>0</v>
      </c>
      <c r="R1651" t="str">
        <f>"9781584657811"</f>
        <v>9781584657811</v>
      </c>
      <c r="S1651" t="str">
        <f>"9781584658252"</f>
        <v>9781584658252</v>
      </c>
      <c r="T1651">
        <v>646815624</v>
      </c>
    </row>
    <row r="1652" spans="1:20" x14ac:dyDescent="0.25">
      <c r="A1652">
        <v>477278</v>
      </c>
      <c r="B1652" t="s">
        <v>8105</v>
      </c>
      <c r="C1652" t="s">
        <v>8106</v>
      </c>
      <c r="D1652" t="s">
        <v>240</v>
      </c>
      <c r="E1652" t="s">
        <v>1625</v>
      </c>
      <c r="F1652">
        <v>2009</v>
      </c>
      <c r="G1652" t="s">
        <v>242</v>
      </c>
      <c r="H1652" t="s">
        <v>8107</v>
      </c>
      <c r="I1652" t="s">
        <v>8108</v>
      </c>
      <c r="J1652" t="s">
        <v>26</v>
      </c>
      <c r="K1652" t="s">
        <v>27</v>
      </c>
      <c r="L1652" t="b">
        <v>1</v>
      </c>
      <c r="M1652" t="s">
        <v>8109</v>
      </c>
      <c r="N1652" t="str">
        <f>"973.9092;B"</f>
        <v>973.9092;B</v>
      </c>
      <c r="O1652" t="s">
        <v>7192</v>
      </c>
      <c r="P1652" t="b">
        <v>0</v>
      </c>
      <c r="R1652" t="str">
        <f>"9781584657989"</f>
        <v>9781584657989</v>
      </c>
      <c r="S1652" t="str">
        <f>"9781584658801"</f>
        <v>9781584658801</v>
      </c>
      <c r="T1652">
        <v>667077813</v>
      </c>
    </row>
    <row r="1653" spans="1:20" x14ac:dyDescent="0.25">
      <c r="A1653">
        <v>477089</v>
      </c>
      <c r="B1653" t="s">
        <v>8110</v>
      </c>
      <c r="C1653" t="s">
        <v>8111</v>
      </c>
      <c r="D1653" t="s">
        <v>131</v>
      </c>
      <c r="E1653" t="s">
        <v>2405</v>
      </c>
      <c r="F1653">
        <v>2012</v>
      </c>
      <c r="G1653" t="s">
        <v>2417</v>
      </c>
      <c r="H1653" t="s">
        <v>8112</v>
      </c>
      <c r="I1653" t="s">
        <v>8113</v>
      </c>
      <c r="J1653" t="s">
        <v>26</v>
      </c>
      <c r="K1653" t="s">
        <v>86</v>
      </c>
      <c r="L1653" t="b">
        <v>1</v>
      </c>
      <c r="M1653" t="s">
        <v>8114</v>
      </c>
      <c r="N1653" t="str">
        <f>"809/.897"</f>
        <v>809/.897</v>
      </c>
      <c r="P1653" t="b">
        <v>0</v>
      </c>
      <c r="R1653" t="str">
        <f>"9780823242146"</f>
        <v>9780823242146</v>
      </c>
      <c r="S1653" t="str">
        <f>"9780823242177"</f>
        <v>9780823242177</v>
      </c>
      <c r="T1653">
        <v>808366482</v>
      </c>
    </row>
    <row r="1654" spans="1:20" x14ac:dyDescent="0.25">
      <c r="A1654">
        <v>477088</v>
      </c>
      <c r="B1654" t="s">
        <v>8115</v>
      </c>
      <c r="C1654" t="s">
        <v>8116</v>
      </c>
      <c r="D1654" t="s">
        <v>131</v>
      </c>
      <c r="E1654" t="s">
        <v>2405</v>
      </c>
      <c r="F1654">
        <v>2012</v>
      </c>
      <c r="G1654" t="s">
        <v>2640</v>
      </c>
      <c r="H1654" t="s">
        <v>8117</v>
      </c>
      <c r="I1654" t="s">
        <v>8118</v>
      </c>
      <c r="J1654" t="s">
        <v>26</v>
      </c>
      <c r="K1654" t="s">
        <v>86</v>
      </c>
      <c r="L1654" t="b">
        <v>1</v>
      </c>
      <c r="M1654" t="s">
        <v>8119</v>
      </c>
      <c r="N1654" t="str">
        <f>"141/.40973"</f>
        <v>141/.40973</v>
      </c>
      <c r="O1654" t="s">
        <v>7142</v>
      </c>
      <c r="P1654" t="b">
        <v>0</v>
      </c>
      <c r="R1654" t="str">
        <f>"9780823242092"</f>
        <v>9780823242092</v>
      </c>
      <c r="S1654" t="str">
        <f>"9780823242122"</f>
        <v>9780823242122</v>
      </c>
      <c r="T1654">
        <v>787845992</v>
      </c>
    </row>
    <row r="1655" spans="1:20" x14ac:dyDescent="0.25">
      <c r="A1655">
        <v>477087</v>
      </c>
      <c r="B1655" t="s">
        <v>8120</v>
      </c>
      <c r="C1655" t="s">
        <v>8121</v>
      </c>
      <c r="D1655" t="s">
        <v>131</v>
      </c>
      <c r="E1655" t="s">
        <v>2405</v>
      </c>
      <c r="F1655">
        <v>2012</v>
      </c>
      <c r="G1655" t="s">
        <v>2417</v>
      </c>
      <c r="H1655" t="s">
        <v>8122</v>
      </c>
      <c r="I1655" t="s">
        <v>8123</v>
      </c>
      <c r="J1655" t="s">
        <v>26</v>
      </c>
      <c r="K1655" t="s">
        <v>86</v>
      </c>
      <c r="L1655" t="b">
        <v>1</v>
      </c>
      <c r="M1655" t="s">
        <v>8124</v>
      </c>
      <c r="N1655" t="str">
        <f>"810.9/353"</f>
        <v>810.9/353</v>
      </c>
      <c r="P1655" t="b">
        <v>0</v>
      </c>
      <c r="R1655" t="str">
        <f>"9780823242344"</f>
        <v>9780823242344</v>
      </c>
      <c r="S1655" t="str">
        <f>"9780823242375"</f>
        <v>9780823242375</v>
      </c>
      <c r="T1655">
        <v>808367423</v>
      </c>
    </row>
    <row r="1656" spans="1:20" x14ac:dyDescent="0.25">
      <c r="A1656">
        <v>474790</v>
      </c>
      <c r="B1656" t="s">
        <v>8125</v>
      </c>
      <c r="C1656" t="s">
        <v>8126</v>
      </c>
      <c r="D1656" t="s">
        <v>6667</v>
      </c>
      <c r="E1656" t="s">
        <v>6668</v>
      </c>
      <c r="F1656">
        <v>2007</v>
      </c>
      <c r="G1656" t="s">
        <v>8127</v>
      </c>
      <c r="H1656" t="s">
        <v>8128</v>
      </c>
      <c r="I1656" t="s">
        <v>8129</v>
      </c>
      <c r="J1656" t="s">
        <v>26</v>
      </c>
      <c r="K1656" t="s">
        <v>86</v>
      </c>
      <c r="L1656" t="b">
        <v>1</v>
      </c>
      <c r="M1656" t="s">
        <v>8130</v>
      </c>
      <c r="N1656" t="str">
        <f>"304.2"</f>
        <v>304.2</v>
      </c>
      <c r="O1656" t="s">
        <v>8131</v>
      </c>
      <c r="P1656" t="b">
        <v>0</v>
      </c>
      <c r="Q1656" t="b">
        <v>0</v>
      </c>
      <c r="R1656" t="str">
        <f>"9781845400804"</f>
        <v>9781845400804</v>
      </c>
      <c r="S1656" t="str">
        <f>"9781845403850"</f>
        <v>9781845403850</v>
      </c>
      <c r="T1656">
        <v>809044619</v>
      </c>
    </row>
    <row r="1657" spans="1:20" x14ac:dyDescent="0.25">
      <c r="A1657">
        <v>474605</v>
      </c>
      <c r="B1657" t="s">
        <v>8132</v>
      </c>
      <c r="D1657" t="s">
        <v>4090</v>
      </c>
      <c r="E1657" t="s">
        <v>4091</v>
      </c>
      <c r="F1657">
        <v>1996</v>
      </c>
      <c r="G1657" t="s">
        <v>5884</v>
      </c>
      <c r="H1657" t="s">
        <v>8133</v>
      </c>
      <c r="I1657" t="s">
        <v>8134</v>
      </c>
      <c r="J1657" t="s">
        <v>26</v>
      </c>
      <c r="K1657" t="s">
        <v>27</v>
      </c>
      <c r="L1657" t="b">
        <v>1</v>
      </c>
      <c r="M1657" t="s">
        <v>8135</v>
      </c>
      <c r="N1657" t="str">
        <f>"613"</f>
        <v>613</v>
      </c>
      <c r="P1657" t="b">
        <v>0</v>
      </c>
      <c r="R1657" t="str">
        <f>"9780761900672"</f>
        <v>9780761900672</v>
      </c>
      <c r="S1657" t="str">
        <f>"9781452264974"</f>
        <v>9781452264974</v>
      </c>
      <c r="T1657">
        <v>808344022</v>
      </c>
    </row>
    <row r="1658" spans="1:20" x14ac:dyDescent="0.25">
      <c r="A1658">
        <v>473345</v>
      </c>
      <c r="B1658" t="s">
        <v>8136</v>
      </c>
      <c r="D1658" t="s">
        <v>107</v>
      </c>
      <c r="E1658" t="s">
        <v>108</v>
      </c>
      <c r="F1658">
        <v>2012</v>
      </c>
      <c r="G1658" t="s">
        <v>1094</v>
      </c>
      <c r="H1658" t="s">
        <v>8137</v>
      </c>
      <c r="I1658" t="s">
        <v>8138</v>
      </c>
      <c r="J1658" t="s">
        <v>26</v>
      </c>
      <c r="K1658" t="s">
        <v>86</v>
      </c>
      <c r="L1658" t="b">
        <v>1</v>
      </c>
      <c r="M1658" t="s">
        <v>8139</v>
      </c>
      <c r="N1658" t="str">
        <f>"551.8"</f>
        <v>551.8</v>
      </c>
      <c r="P1658" t="b">
        <v>0</v>
      </c>
      <c r="Q1658" t="b">
        <v>0</v>
      </c>
      <c r="R1658" t="str">
        <f>"9781906716264"</f>
        <v>9781906716264</v>
      </c>
      <c r="S1658" t="str">
        <f>"9781903544440"</f>
        <v>9781903544440</v>
      </c>
      <c r="T1658">
        <v>810924721</v>
      </c>
    </row>
    <row r="1659" spans="1:20" x14ac:dyDescent="0.25">
      <c r="A1659">
        <v>473342</v>
      </c>
      <c r="B1659" t="s">
        <v>8140</v>
      </c>
      <c r="C1659" t="s">
        <v>8141</v>
      </c>
      <c r="D1659" t="s">
        <v>107</v>
      </c>
      <c r="E1659" t="s">
        <v>108</v>
      </c>
      <c r="F1659">
        <v>2012</v>
      </c>
      <c r="G1659" t="s">
        <v>1094</v>
      </c>
      <c r="H1659" t="s">
        <v>8142</v>
      </c>
      <c r="I1659" t="s">
        <v>8143</v>
      </c>
      <c r="J1659" t="s">
        <v>26</v>
      </c>
      <c r="K1659" t="s">
        <v>86</v>
      </c>
      <c r="L1659" t="b">
        <v>1</v>
      </c>
      <c r="M1659" t="s">
        <v>8144</v>
      </c>
      <c r="N1659" t="str">
        <f>"551.41"</f>
        <v>551.41</v>
      </c>
      <c r="P1659" t="b">
        <v>0</v>
      </c>
      <c r="Q1659" t="b">
        <v>0</v>
      </c>
      <c r="R1659" t="str">
        <f>"9781906716325"</f>
        <v>9781906716325</v>
      </c>
      <c r="S1659" t="str">
        <f>"9781903544433"</f>
        <v>9781903544433</v>
      </c>
      <c r="T1659">
        <v>810931661</v>
      </c>
    </row>
    <row r="1660" spans="1:20" x14ac:dyDescent="0.25">
      <c r="A1660">
        <v>472984</v>
      </c>
      <c r="B1660" t="s">
        <v>8145</v>
      </c>
      <c r="D1660" t="s">
        <v>5731</v>
      </c>
      <c r="E1660" t="s">
        <v>6240</v>
      </c>
      <c r="F1660">
        <v>2012</v>
      </c>
      <c r="G1660" t="s">
        <v>2061</v>
      </c>
      <c r="H1660" t="s">
        <v>8146</v>
      </c>
      <c r="I1660" t="s">
        <v>8147</v>
      </c>
      <c r="J1660" t="s">
        <v>26</v>
      </c>
      <c r="K1660" t="s">
        <v>86</v>
      </c>
      <c r="L1660" t="b">
        <v>1</v>
      </c>
      <c r="M1660" t="s">
        <v>8148</v>
      </c>
      <c r="N1660" t="str">
        <f>"297.803"</f>
        <v>297.803</v>
      </c>
      <c r="O1660" t="s">
        <v>5735</v>
      </c>
      <c r="P1660" t="b">
        <v>0</v>
      </c>
      <c r="R1660" t="str">
        <f>"9780810878211"</f>
        <v>9780810878211</v>
      </c>
      <c r="S1660" t="str">
        <f>"9780810879652"</f>
        <v>9780810879652</v>
      </c>
      <c r="T1660">
        <v>808341279</v>
      </c>
    </row>
    <row r="1661" spans="1:20" x14ac:dyDescent="0.25">
      <c r="A1661">
        <v>469243</v>
      </c>
      <c r="B1661" t="s">
        <v>8149</v>
      </c>
      <c r="D1661" t="s">
        <v>203</v>
      </c>
      <c r="E1661" t="s">
        <v>1109</v>
      </c>
      <c r="F1661">
        <v>2012</v>
      </c>
      <c r="G1661" t="s">
        <v>1110</v>
      </c>
      <c r="H1661" t="s">
        <v>8150</v>
      </c>
      <c r="I1661" t="s">
        <v>8151</v>
      </c>
      <c r="J1661" t="s">
        <v>26</v>
      </c>
      <c r="K1661" t="s">
        <v>27</v>
      </c>
      <c r="L1661" t="b">
        <v>1</v>
      </c>
      <c r="M1661" t="s">
        <v>8152</v>
      </c>
      <c r="N1661" t="str">
        <f>"809.2935274"</f>
        <v>809.2935274</v>
      </c>
      <c r="P1661" t="b">
        <v>0</v>
      </c>
      <c r="R1661" t="str">
        <f>"9781908020420"</f>
        <v>9781908020420</v>
      </c>
      <c r="S1661" t="str">
        <f>"9781908020543"</f>
        <v>9781908020543</v>
      </c>
      <c r="T1661">
        <v>802941666</v>
      </c>
    </row>
    <row r="1662" spans="1:20" x14ac:dyDescent="0.25">
      <c r="A1662">
        <v>469020</v>
      </c>
      <c r="B1662" t="s">
        <v>8153</v>
      </c>
      <c r="C1662" t="s">
        <v>8154</v>
      </c>
      <c r="D1662" t="s">
        <v>131</v>
      </c>
      <c r="E1662" t="s">
        <v>2389</v>
      </c>
      <c r="F1662">
        <v>2012</v>
      </c>
      <c r="G1662" t="s">
        <v>4239</v>
      </c>
      <c r="H1662" t="s">
        <v>8155</v>
      </c>
      <c r="I1662" t="s">
        <v>8156</v>
      </c>
      <c r="J1662" t="s">
        <v>26</v>
      </c>
      <c r="K1662" t="s">
        <v>86</v>
      </c>
      <c r="L1662" t="b">
        <v>1</v>
      </c>
      <c r="M1662" t="s">
        <v>8157</v>
      </c>
      <c r="N1662" t="str">
        <f>"282.092"</f>
        <v>282.092</v>
      </c>
      <c r="P1662" t="b">
        <v>0</v>
      </c>
      <c r="R1662" t="str">
        <f>"9780823241842"</f>
        <v>9780823241842</v>
      </c>
      <c r="S1662" t="str">
        <f>"9780823241873"</f>
        <v>9780823241873</v>
      </c>
      <c r="T1662">
        <v>801405642</v>
      </c>
    </row>
    <row r="1663" spans="1:20" x14ac:dyDescent="0.25">
      <c r="A1663">
        <v>469019</v>
      </c>
      <c r="B1663" t="s">
        <v>8158</v>
      </c>
      <c r="C1663" t="s">
        <v>8159</v>
      </c>
      <c r="D1663" t="s">
        <v>131</v>
      </c>
      <c r="E1663" t="s">
        <v>2389</v>
      </c>
      <c r="F1663">
        <v>2011</v>
      </c>
      <c r="G1663" t="s">
        <v>5766</v>
      </c>
      <c r="H1663" t="s">
        <v>8160</v>
      </c>
      <c r="I1663" t="s">
        <v>8161</v>
      </c>
      <c r="J1663" t="s">
        <v>26</v>
      </c>
      <c r="K1663" t="s">
        <v>86</v>
      </c>
      <c r="L1663" t="b">
        <v>1</v>
      </c>
      <c r="M1663" t="s">
        <v>8162</v>
      </c>
      <c r="N1663" t="str">
        <f>"706"</f>
        <v>706</v>
      </c>
      <c r="P1663" t="b">
        <v>0</v>
      </c>
      <c r="R1663" t="str">
        <f>"9780823234134"</f>
        <v>9780823234134</v>
      </c>
      <c r="S1663" t="str">
        <f>"9780823244348"</f>
        <v>9780823244348</v>
      </c>
      <c r="T1663">
        <v>801404346</v>
      </c>
    </row>
    <row r="1664" spans="1:20" x14ac:dyDescent="0.25">
      <c r="A1664">
        <v>467826</v>
      </c>
      <c r="B1664" t="s">
        <v>8163</v>
      </c>
      <c r="C1664" t="s">
        <v>8164</v>
      </c>
      <c r="D1664" t="s">
        <v>131</v>
      </c>
      <c r="E1664" t="s">
        <v>2389</v>
      </c>
      <c r="F1664">
        <v>2008</v>
      </c>
      <c r="G1664" t="s">
        <v>1550</v>
      </c>
      <c r="H1664" t="s">
        <v>8165</v>
      </c>
      <c r="J1664" t="s">
        <v>26</v>
      </c>
      <c r="K1664" t="s">
        <v>86</v>
      </c>
      <c r="L1664" t="b">
        <v>1</v>
      </c>
      <c r="M1664" t="s">
        <v>2601</v>
      </c>
      <c r="N1664" t="str">
        <f>"378.747/275"</f>
        <v>378.747/275</v>
      </c>
      <c r="P1664" t="b">
        <v>0</v>
      </c>
      <c r="R1664" t="str">
        <f>"9780823229772"</f>
        <v>9780823229772</v>
      </c>
      <c r="S1664" t="str">
        <f>"9780823237630"</f>
        <v>9780823237630</v>
      </c>
      <c r="T1664">
        <v>801405577</v>
      </c>
    </row>
    <row r="1665" spans="1:20" x14ac:dyDescent="0.25">
      <c r="A1665">
        <v>467825</v>
      </c>
      <c r="B1665" t="s">
        <v>8166</v>
      </c>
      <c r="D1665" t="s">
        <v>131</v>
      </c>
      <c r="E1665" t="s">
        <v>2389</v>
      </c>
      <c r="F1665">
        <v>2012</v>
      </c>
      <c r="G1665" t="s">
        <v>8167</v>
      </c>
      <c r="H1665" t="s">
        <v>8168</v>
      </c>
      <c r="I1665" t="s">
        <v>8169</v>
      </c>
      <c r="J1665" t="s">
        <v>26</v>
      </c>
      <c r="K1665" t="s">
        <v>86</v>
      </c>
      <c r="L1665" t="b">
        <v>1</v>
      </c>
      <c r="M1665" t="s">
        <v>8170</v>
      </c>
      <c r="N1665" t="str">
        <f>"422"</f>
        <v>422</v>
      </c>
      <c r="P1665" t="b">
        <v>0</v>
      </c>
      <c r="R1665" t="str">
        <f>"9780823242047"</f>
        <v>9780823242047</v>
      </c>
      <c r="S1665" t="str">
        <f>"9780823242078"</f>
        <v>9780823242078</v>
      </c>
      <c r="T1665">
        <v>801405952</v>
      </c>
    </row>
    <row r="1666" spans="1:20" x14ac:dyDescent="0.25">
      <c r="A1666">
        <v>467824</v>
      </c>
      <c r="B1666" t="s">
        <v>8171</v>
      </c>
      <c r="C1666" t="s">
        <v>8172</v>
      </c>
      <c r="D1666" t="s">
        <v>131</v>
      </c>
      <c r="E1666" t="s">
        <v>2389</v>
      </c>
      <c r="F1666">
        <v>2004</v>
      </c>
      <c r="G1666" t="s">
        <v>2666</v>
      </c>
      <c r="H1666" t="s">
        <v>8173</v>
      </c>
      <c r="I1666" t="s">
        <v>8174</v>
      </c>
      <c r="J1666" t="s">
        <v>26</v>
      </c>
      <c r="K1666" t="s">
        <v>86</v>
      </c>
      <c r="L1666" t="b">
        <v>1</v>
      </c>
      <c r="M1666" t="s">
        <v>8175</v>
      </c>
      <c r="N1666" t="str">
        <f>"324.9773/03"</f>
        <v>324.9773/03</v>
      </c>
      <c r="P1666" t="b">
        <v>0</v>
      </c>
      <c r="R1666" t="str">
        <f>"9780823223428"</f>
        <v>9780823223428</v>
      </c>
      <c r="S1666" t="str">
        <f>"9780823238507"</f>
        <v>9780823238507</v>
      </c>
      <c r="T1666">
        <v>801406068</v>
      </c>
    </row>
    <row r="1667" spans="1:20" x14ac:dyDescent="0.25">
      <c r="A1667">
        <v>467823</v>
      </c>
      <c r="B1667" t="s">
        <v>8176</v>
      </c>
      <c r="D1667" t="s">
        <v>131</v>
      </c>
      <c r="E1667" t="s">
        <v>2389</v>
      </c>
      <c r="F1667">
        <v>2004</v>
      </c>
      <c r="G1667" t="s">
        <v>3995</v>
      </c>
      <c r="H1667" t="s">
        <v>8177</v>
      </c>
      <c r="I1667" t="s">
        <v>8178</v>
      </c>
      <c r="J1667" t="s">
        <v>26</v>
      </c>
      <c r="K1667" t="s">
        <v>86</v>
      </c>
      <c r="L1667" t="b">
        <v>1</v>
      </c>
      <c r="M1667" t="s">
        <v>8179</v>
      </c>
      <c r="N1667" t="str">
        <f>"974.7/1043"</f>
        <v>974.7/1043</v>
      </c>
      <c r="P1667" t="b">
        <v>1</v>
      </c>
      <c r="R1667" t="str">
        <f>"9780823223275"</f>
        <v>9780823223275</v>
      </c>
      <c r="S1667" t="str">
        <f>"9780823237937"</f>
        <v>9780823237937</v>
      </c>
      <c r="T1667">
        <v>727645671</v>
      </c>
    </row>
    <row r="1668" spans="1:20" x14ac:dyDescent="0.25">
      <c r="A1668">
        <v>467822</v>
      </c>
      <c r="B1668" t="s">
        <v>8180</v>
      </c>
      <c r="C1668" t="s">
        <v>8181</v>
      </c>
      <c r="D1668" t="s">
        <v>131</v>
      </c>
      <c r="E1668" t="s">
        <v>2389</v>
      </c>
      <c r="F1668">
        <v>2009</v>
      </c>
      <c r="G1668" t="s">
        <v>8182</v>
      </c>
      <c r="H1668" t="s">
        <v>8183</v>
      </c>
      <c r="I1668" t="s">
        <v>8184</v>
      </c>
      <c r="J1668" t="s">
        <v>26</v>
      </c>
      <c r="K1668" t="s">
        <v>86</v>
      </c>
      <c r="L1668" t="b">
        <v>1</v>
      </c>
      <c r="M1668" t="s">
        <v>8185</v>
      </c>
      <c r="N1668" t="str">
        <f>"891.409"</f>
        <v>891.409</v>
      </c>
      <c r="P1668" t="b">
        <v>0</v>
      </c>
      <c r="R1668" t="str">
        <f>"9780823229550"</f>
        <v>9780823229550</v>
      </c>
      <c r="S1668" t="str">
        <f>"9780823238170"</f>
        <v>9780823238170</v>
      </c>
      <c r="T1668">
        <v>801817216</v>
      </c>
    </row>
    <row r="1669" spans="1:20" x14ac:dyDescent="0.25">
      <c r="A1669">
        <v>467821</v>
      </c>
      <c r="B1669" t="s">
        <v>8186</v>
      </c>
      <c r="C1669" t="s">
        <v>8187</v>
      </c>
      <c r="D1669" t="s">
        <v>131</v>
      </c>
      <c r="E1669" t="s">
        <v>2389</v>
      </c>
      <c r="F1669">
        <v>2007</v>
      </c>
      <c r="G1669" t="s">
        <v>4132</v>
      </c>
      <c r="H1669" t="s">
        <v>8188</v>
      </c>
      <c r="I1669" t="s">
        <v>8189</v>
      </c>
      <c r="J1669" t="s">
        <v>26</v>
      </c>
      <c r="K1669" t="s">
        <v>86</v>
      </c>
      <c r="L1669" t="b">
        <v>1</v>
      </c>
      <c r="M1669" t="s">
        <v>8190</v>
      </c>
      <c r="N1669" t="str">
        <f>"201/.77"</f>
        <v>201/.77</v>
      </c>
      <c r="O1669" t="s">
        <v>4481</v>
      </c>
      <c r="P1669" t="b">
        <v>0</v>
      </c>
      <c r="R1669" t="str">
        <f>"9780823227457"</f>
        <v>9780823227457</v>
      </c>
      <c r="S1669" t="str">
        <f>"9780823237593"</f>
        <v>9780823237593</v>
      </c>
      <c r="T1669">
        <v>801405870</v>
      </c>
    </row>
    <row r="1670" spans="1:20" x14ac:dyDescent="0.25">
      <c r="A1670">
        <v>467820</v>
      </c>
      <c r="B1670" t="s">
        <v>8191</v>
      </c>
      <c r="C1670" t="s">
        <v>8192</v>
      </c>
      <c r="D1670" t="s">
        <v>131</v>
      </c>
      <c r="E1670" t="s">
        <v>2389</v>
      </c>
      <c r="F1670">
        <v>2003</v>
      </c>
      <c r="G1670" t="s">
        <v>8193</v>
      </c>
      <c r="H1670" t="s">
        <v>8194</v>
      </c>
      <c r="I1670" t="s">
        <v>8195</v>
      </c>
      <c r="J1670" t="s">
        <v>26</v>
      </c>
      <c r="K1670" t="s">
        <v>86</v>
      </c>
      <c r="L1670" t="b">
        <v>1</v>
      </c>
      <c r="M1670" t="s">
        <v>8196</v>
      </c>
      <c r="N1670" t="str">
        <f>"070.92;B"</f>
        <v>070.92;B</v>
      </c>
      <c r="O1670" t="s">
        <v>8197</v>
      </c>
      <c r="P1670" t="b">
        <v>0</v>
      </c>
      <c r="R1670" t="str">
        <f>"9780823222674"</f>
        <v>9780823222674</v>
      </c>
      <c r="S1670" t="str">
        <f>"9780823238590"</f>
        <v>9780823238590</v>
      </c>
      <c r="T1670">
        <v>647876393</v>
      </c>
    </row>
    <row r="1671" spans="1:20" x14ac:dyDescent="0.25">
      <c r="A1671">
        <v>467819</v>
      </c>
      <c r="B1671" t="s">
        <v>8198</v>
      </c>
      <c r="D1671" t="s">
        <v>131</v>
      </c>
      <c r="E1671" t="s">
        <v>2389</v>
      </c>
      <c r="F1671">
        <v>2004</v>
      </c>
      <c r="G1671" t="s">
        <v>3995</v>
      </c>
      <c r="H1671" t="s">
        <v>8199</v>
      </c>
      <c r="I1671" t="s">
        <v>8200</v>
      </c>
      <c r="J1671" t="s">
        <v>26</v>
      </c>
      <c r="K1671" t="s">
        <v>86</v>
      </c>
      <c r="L1671" t="b">
        <v>1</v>
      </c>
      <c r="M1671" t="s">
        <v>8201</v>
      </c>
      <c r="N1671" t="str">
        <f>"812/.54"</f>
        <v>812/.54</v>
      </c>
      <c r="P1671" t="b">
        <v>1</v>
      </c>
      <c r="R1671" t="str">
        <f>"9780823223305"</f>
        <v>9780823223305</v>
      </c>
      <c r="S1671" t="str">
        <f>"9780823238620"</f>
        <v>9780823238620</v>
      </c>
      <c r="T1671">
        <v>801405756</v>
      </c>
    </row>
    <row r="1672" spans="1:20" x14ac:dyDescent="0.25">
      <c r="A1672">
        <v>467817</v>
      </c>
      <c r="B1672" t="s">
        <v>8202</v>
      </c>
      <c r="D1672" t="s">
        <v>131</v>
      </c>
      <c r="E1672" t="s">
        <v>2389</v>
      </c>
      <c r="F1672">
        <v>2008</v>
      </c>
      <c r="G1672" t="s">
        <v>4378</v>
      </c>
      <c r="H1672" t="s">
        <v>8203</v>
      </c>
      <c r="I1672" t="s">
        <v>8204</v>
      </c>
      <c r="J1672" t="s">
        <v>26</v>
      </c>
      <c r="K1672" t="s">
        <v>86</v>
      </c>
      <c r="L1672" t="b">
        <v>1</v>
      </c>
      <c r="M1672" t="s">
        <v>8205</v>
      </c>
      <c r="N1672" t="str">
        <f>"194"</f>
        <v>194</v>
      </c>
      <c r="O1672" t="s">
        <v>2426</v>
      </c>
      <c r="P1672" t="b">
        <v>0</v>
      </c>
      <c r="R1672" t="str">
        <f>"9780823227587"</f>
        <v>9780823227587</v>
      </c>
      <c r="S1672" t="str">
        <f>"9780823238088"</f>
        <v>9780823238088</v>
      </c>
      <c r="T1672">
        <v>801405216</v>
      </c>
    </row>
    <row r="1673" spans="1:20" x14ac:dyDescent="0.25">
      <c r="A1673">
        <v>467816</v>
      </c>
      <c r="B1673" t="s">
        <v>8206</v>
      </c>
      <c r="C1673" t="s">
        <v>8207</v>
      </c>
      <c r="D1673" t="s">
        <v>131</v>
      </c>
      <c r="E1673" t="s">
        <v>2439</v>
      </c>
      <c r="F1673">
        <v>2011</v>
      </c>
      <c r="G1673" t="s">
        <v>2400</v>
      </c>
      <c r="H1673" t="s">
        <v>8208</v>
      </c>
      <c r="I1673" t="s">
        <v>8209</v>
      </c>
      <c r="J1673" t="s">
        <v>26</v>
      </c>
      <c r="K1673" t="s">
        <v>86</v>
      </c>
      <c r="L1673" t="b">
        <v>1</v>
      </c>
      <c r="M1673" t="s">
        <v>8210</v>
      </c>
      <c r="N1673" t="str">
        <f>"809.3/04"</f>
        <v>809.3/04</v>
      </c>
      <c r="P1673" t="b">
        <v>0</v>
      </c>
      <c r="R1673" t="str">
        <f>"9780823234790"</f>
        <v>9780823234790</v>
      </c>
      <c r="S1673" t="str">
        <f>"9780823241514"</f>
        <v>9780823241514</v>
      </c>
      <c r="T1673">
        <v>785778996</v>
      </c>
    </row>
    <row r="1674" spans="1:20" x14ac:dyDescent="0.25">
      <c r="A1674">
        <v>467815</v>
      </c>
      <c r="B1674" t="s">
        <v>8211</v>
      </c>
      <c r="D1674" t="s">
        <v>131</v>
      </c>
      <c r="E1674" t="s">
        <v>2389</v>
      </c>
      <c r="F1674">
        <v>2004</v>
      </c>
      <c r="G1674" t="s">
        <v>3509</v>
      </c>
      <c r="H1674" t="s">
        <v>8212</v>
      </c>
      <c r="I1674" t="s">
        <v>8213</v>
      </c>
      <c r="J1674" t="s">
        <v>26</v>
      </c>
      <c r="K1674" t="s">
        <v>86</v>
      </c>
      <c r="L1674" t="b">
        <v>1</v>
      </c>
      <c r="M1674" t="s">
        <v>2575</v>
      </c>
      <c r="N1674" t="str">
        <f>"792/.01"</f>
        <v>792/.01</v>
      </c>
      <c r="O1674" t="s">
        <v>4498</v>
      </c>
      <c r="P1674" t="b">
        <v>1</v>
      </c>
      <c r="R1674" t="str">
        <f>"9780823224159"</f>
        <v>9780823224159</v>
      </c>
      <c r="S1674" t="str">
        <f>"9780823238675"</f>
        <v>9780823238675</v>
      </c>
      <c r="T1674">
        <v>647876481</v>
      </c>
    </row>
    <row r="1675" spans="1:20" x14ac:dyDescent="0.25">
      <c r="A1675">
        <v>467813</v>
      </c>
      <c r="B1675" t="s">
        <v>8214</v>
      </c>
      <c r="C1675" t="s">
        <v>8215</v>
      </c>
      <c r="D1675" t="s">
        <v>131</v>
      </c>
      <c r="E1675" t="s">
        <v>2389</v>
      </c>
      <c r="F1675">
        <v>2005</v>
      </c>
      <c r="G1675" t="s">
        <v>8216</v>
      </c>
      <c r="H1675" t="s">
        <v>8217</v>
      </c>
      <c r="I1675" t="s">
        <v>8218</v>
      </c>
      <c r="J1675" t="s">
        <v>26</v>
      </c>
      <c r="K1675" t="s">
        <v>86</v>
      </c>
      <c r="L1675" t="b">
        <v>1</v>
      </c>
      <c r="M1675" t="s">
        <v>8219</v>
      </c>
      <c r="N1675" t="str">
        <f>"296.1/6"</f>
        <v>296.1/6</v>
      </c>
      <c r="P1675" t="b">
        <v>0</v>
      </c>
      <c r="R1675" t="str">
        <f>"9780823224180"</f>
        <v>9780823224180</v>
      </c>
      <c r="S1675" t="str">
        <f>"9780823237852"</f>
        <v>9780823237852</v>
      </c>
      <c r="T1675">
        <v>801405995</v>
      </c>
    </row>
    <row r="1676" spans="1:20" x14ac:dyDescent="0.25">
      <c r="A1676">
        <v>467812</v>
      </c>
      <c r="B1676" t="s">
        <v>8220</v>
      </c>
      <c r="C1676" t="s">
        <v>8221</v>
      </c>
      <c r="D1676" t="s">
        <v>131</v>
      </c>
      <c r="E1676" t="s">
        <v>2439</v>
      </c>
      <c r="F1676">
        <v>2011</v>
      </c>
      <c r="G1676" t="s">
        <v>2497</v>
      </c>
      <c r="H1676" t="s">
        <v>8222</v>
      </c>
      <c r="I1676" t="s">
        <v>8223</v>
      </c>
      <c r="J1676" t="s">
        <v>26</v>
      </c>
      <c r="K1676" t="s">
        <v>86</v>
      </c>
      <c r="L1676" t="b">
        <v>1</v>
      </c>
      <c r="M1676" t="s">
        <v>8224</v>
      </c>
      <c r="N1676" t="str">
        <f>"892.7/0995692"</f>
        <v>892.7/0995692</v>
      </c>
      <c r="P1676" t="b">
        <v>0</v>
      </c>
      <c r="R1676" t="str">
        <f>"9780823234820"</f>
        <v>9780823234820</v>
      </c>
      <c r="S1676" t="str">
        <f>"9780823244362"</f>
        <v>9780823244362</v>
      </c>
      <c r="T1676">
        <v>801405199</v>
      </c>
    </row>
    <row r="1677" spans="1:20" x14ac:dyDescent="0.25">
      <c r="A1677">
        <v>467527</v>
      </c>
      <c r="B1677" t="s">
        <v>8225</v>
      </c>
      <c r="D1677" t="s">
        <v>98</v>
      </c>
      <c r="E1677" t="s">
        <v>99</v>
      </c>
      <c r="F1677">
        <v>2012</v>
      </c>
      <c r="G1677" t="s">
        <v>161</v>
      </c>
      <c r="H1677" t="s">
        <v>8226</v>
      </c>
      <c r="I1677" t="s">
        <v>8227</v>
      </c>
      <c r="J1677" t="s">
        <v>26</v>
      </c>
      <c r="K1677" t="s">
        <v>27</v>
      </c>
      <c r="L1677" t="b">
        <v>1</v>
      </c>
      <c r="M1677" t="s">
        <v>8228</v>
      </c>
      <c r="N1677" t="str">
        <f>"618.92/61;618.9261"</f>
        <v>618.92/61;618.9261</v>
      </c>
      <c r="O1677" t="s">
        <v>8229</v>
      </c>
      <c r="P1677" t="b">
        <v>0</v>
      </c>
      <c r="R1677" t="str">
        <f>"9780199601370"</f>
        <v>9780199601370</v>
      </c>
      <c r="S1677" t="str">
        <f>"9780191627125"</f>
        <v>9780191627125</v>
      </c>
      <c r="T1677">
        <v>801363512</v>
      </c>
    </row>
    <row r="1678" spans="1:20" x14ac:dyDescent="0.25">
      <c r="A1678">
        <v>467295</v>
      </c>
      <c r="B1678" t="s">
        <v>8230</v>
      </c>
      <c r="C1678" t="s">
        <v>8231</v>
      </c>
      <c r="D1678" t="s">
        <v>8232</v>
      </c>
      <c r="E1678" t="s">
        <v>8232</v>
      </c>
      <c r="F1678">
        <v>2012</v>
      </c>
      <c r="G1678" t="s">
        <v>270</v>
      </c>
      <c r="H1678" t="s">
        <v>8233</v>
      </c>
      <c r="I1678" t="s">
        <v>8234</v>
      </c>
      <c r="J1678" t="s">
        <v>26</v>
      </c>
      <c r="K1678" t="s">
        <v>27</v>
      </c>
      <c r="L1678" t="b">
        <v>1</v>
      </c>
      <c r="M1678" t="s">
        <v>8235</v>
      </c>
      <c r="N1678" t="str">
        <f>"158.1"</f>
        <v>158.1</v>
      </c>
      <c r="P1678" t="b">
        <v>0</v>
      </c>
      <c r="Q1678" t="b">
        <v>0</v>
      </c>
      <c r="R1678" t="str">
        <f>"9781906821975"</f>
        <v>9781906821975</v>
      </c>
      <c r="S1678" t="str">
        <f>"9781908474636"</f>
        <v>9781908474636</v>
      </c>
      <c r="T1678">
        <v>801365283</v>
      </c>
    </row>
    <row r="1679" spans="1:20" x14ac:dyDescent="0.25">
      <c r="A1679">
        <v>467264</v>
      </c>
      <c r="B1679" t="s">
        <v>8236</v>
      </c>
      <c r="D1679" t="s">
        <v>8237</v>
      </c>
      <c r="E1679" t="s">
        <v>8237</v>
      </c>
      <c r="F1679">
        <v>1998</v>
      </c>
      <c r="G1679" t="s">
        <v>8238</v>
      </c>
      <c r="H1679" t="s">
        <v>8239</v>
      </c>
      <c r="I1679" t="s">
        <v>8240</v>
      </c>
      <c r="J1679" t="s">
        <v>26</v>
      </c>
      <c r="K1679" t="s">
        <v>27</v>
      </c>
      <c r="L1679" t="b">
        <v>1</v>
      </c>
      <c r="M1679" t="s">
        <v>8241</v>
      </c>
      <c r="N1679" t="str">
        <f>"617.719"</f>
        <v>617.719</v>
      </c>
      <c r="P1679" t="b">
        <v>0</v>
      </c>
      <c r="R1679" t="str">
        <f>"9789062991570"</f>
        <v>9789062991570</v>
      </c>
      <c r="S1679" t="str">
        <f>"9789062998067"</f>
        <v>9789062998067</v>
      </c>
      <c r="T1679">
        <v>805600292</v>
      </c>
    </row>
    <row r="1680" spans="1:20" x14ac:dyDescent="0.25">
      <c r="A1680">
        <v>467263</v>
      </c>
      <c r="B1680" t="s">
        <v>8242</v>
      </c>
      <c r="C1680" t="s">
        <v>8243</v>
      </c>
      <c r="D1680" t="s">
        <v>8237</v>
      </c>
      <c r="E1680" t="s">
        <v>8237</v>
      </c>
      <c r="F1680">
        <v>1998</v>
      </c>
      <c r="G1680" t="s">
        <v>722</v>
      </c>
      <c r="H1680" t="s">
        <v>8239</v>
      </c>
      <c r="I1680" t="s">
        <v>8240</v>
      </c>
      <c r="J1680" t="s">
        <v>26</v>
      </c>
      <c r="K1680" t="s">
        <v>27</v>
      </c>
      <c r="L1680" t="b">
        <v>1</v>
      </c>
      <c r="M1680" t="s">
        <v>8244</v>
      </c>
      <c r="N1680" t="str">
        <f>"617.719"</f>
        <v>617.719</v>
      </c>
      <c r="P1680" t="b">
        <v>0</v>
      </c>
      <c r="R1680" t="str">
        <f>"9789062991402"</f>
        <v>9789062991402</v>
      </c>
      <c r="S1680" t="str">
        <f>"9789062997848"</f>
        <v>9789062997848</v>
      </c>
      <c r="T1680">
        <v>805600159</v>
      </c>
    </row>
    <row r="1681" spans="1:20" x14ac:dyDescent="0.25">
      <c r="A1681">
        <v>467262</v>
      </c>
      <c r="B1681" t="s">
        <v>8245</v>
      </c>
      <c r="C1681" t="s">
        <v>8246</v>
      </c>
      <c r="D1681" t="s">
        <v>8237</v>
      </c>
      <c r="E1681" t="s">
        <v>8237</v>
      </c>
      <c r="F1681">
        <v>1998</v>
      </c>
      <c r="G1681" t="s">
        <v>8238</v>
      </c>
      <c r="H1681" t="s">
        <v>8247</v>
      </c>
      <c r="I1681" t="s">
        <v>8248</v>
      </c>
      <c r="J1681" t="s">
        <v>26</v>
      </c>
      <c r="K1681" t="s">
        <v>27</v>
      </c>
      <c r="L1681" t="b">
        <v>1</v>
      </c>
      <c r="M1681" t="s">
        <v>8249</v>
      </c>
      <c r="N1681" t="str">
        <f>"617.7/41"</f>
        <v>617.7/41</v>
      </c>
      <c r="P1681" t="b">
        <v>0</v>
      </c>
      <c r="R1681" t="str">
        <f>"9789062991532"</f>
        <v>9789062991532</v>
      </c>
      <c r="S1681" t="str">
        <f>"9789062998302"</f>
        <v>9789062998302</v>
      </c>
      <c r="T1681">
        <v>804815594</v>
      </c>
    </row>
    <row r="1682" spans="1:20" x14ac:dyDescent="0.25">
      <c r="A1682">
        <v>467261</v>
      </c>
      <c r="B1682" t="s">
        <v>8250</v>
      </c>
      <c r="D1682" t="s">
        <v>8237</v>
      </c>
      <c r="E1682" t="s">
        <v>8237</v>
      </c>
      <c r="F1682">
        <v>1998</v>
      </c>
      <c r="G1682" t="s">
        <v>8251</v>
      </c>
      <c r="H1682" t="s">
        <v>8252</v>
      </c>
      <c r="I1682" t="s">
        <v>8253</v>
      </c>
      <c r="J1682" t="s">
        <v>26</v>
      </c>
      <c r="K1682" t="s">
        <v>27</v>
      </c>
      <c r="L1682" t="b">
        <v>1</v>
      </c>
      <c r="M1682" t="s">
        <v>8254</v>
      </c>
      <c r="N1682" t="str">
        <f>"617.8059"</f>
        <v>617.8059</v>
      </c>
      <c r="P1682" t="b">
        <v>0</v>
      </c>
      <c r="R1682" t="str">
        <f>"9789062991495"</f>
        <v>9789062991495</v>
      </c>
      <c r="S1682" t="str">
        <f>"9789062998272"</f>
        <v>9789062998272</v>
      </c>
      <c r="T1682">
        <v>805600181</v>
      </c>
    </row>
    <row r="1683" spans="1:20" x14ac:dyDescent="0.25">
      <c r="A1683">
        <v>467260</v>
      </c>
      <c r="B1683" t="s">
        <v>8255</v>
      </c>
      <c r="C1683" t="s">
        <v>8256</v>
      </c>
      <c r="D1683" t="s">
        <v>8237</v>
      </c>
      <c r="E1683" t="s">
        <v>8237</v>
      </c>
      <c r="F1683">
        <v>1998</v>
      </c>
      <c r="G1683" t="s">
        <v>8238</v>
      </c>
      <c r="H1683" t="s">
        <v>8239</v>
      </c>
      <c r="I1683" t="s">
        <v>8257</v>
      </c>
      <c r="J1683" t="s">
        <v>26</v>
      </c>
      <c r="K1683" t="s">
        <v>27</v>
      </c>
      <c r="L1683" t="b">
        <v>1</v>
      </c>
      <c r="M1683" t="s">
        <v>8258</v>
      </c>
      <c r="N1683" t="str">
        <f>"617.719"</f>
        <v>617.719</v>
      </c>
      <c r="P1683" t="b">
        <v>0</v>
      </c>
      <c r="R1683" t="str">
        <f>"9789062991501"</f>
        <v>9789062991501</v>
      </c>
      <c r="S1683" t="str">
        <f>"9789062997831"</f>
        <v>9789062997831</v>
      </c>
      <c r="T1683">
        <v>805600285</v>
      </c>
    </row>
    <row r="1684" spans="1:20" x14ac:dyDescent="0.25">
      <c r="A1684">
        <v>467259</v>
      </c>
      <c r="B1684" t="s">
        <v>8255</v>
      </c>
      <c r="C1684" t="s">
        <v>8259</v>
      </c>
      <c r="D1684" t="s">
        <v>8237</v>
      </c>
      <c r="E1684" t="s">
        <v>8237</v>
      </c>
      <c r="F1684">
        <v>1997</v>
      </c>
      <c r="G1684" t="s">
        <v>722</v>
      </c>
      <c r="H1684" t="s">
        <v>8260</v>
      </c>
      <c r="I1684" t="s">
        <v>8257</v>
      </c>
      <c r="J1684" t="s">
        <v>26</v>
      </c>
      <c r="K1684" t="s">
        <v>27</v>
      </c>
      <c r="L1684" t="b">
        <v>1</v>
      </c>
      <c r="M1684" t="s">
        <v>8258</v>
      </c>
      <c r="N1684" t="str">
        <f>"617.7/19"</f>
        <v>617.7/19</v>
      </c>
      <c r="P1684" t="b">
        <v>0</v>
      </c>
      <c r="R1684" t="str">
        <f>"9789062991389"</f>
        <v>9789062991389</v>
      </c>
      <c r="S1684" t="str">
        <f>"9789062998340"</f>
        <v>9789062998340</v>
      </c>
      <c r="T1684">
        <v>804837714</v>
      </c>
    </row>
    <row r="1685" spans="1:20" x14ac:dyDescent="0.25">
      <c r="A1685">
        <v>466179</v>
      </c>
      <c r="B1685" t="s">
        <v>8261</v>
      </c>
      <c r="D1685" t="s">
        <v>8262</v>
      </c>
      <c r="E1685" t="s">
        <v>8262</v>
      </c>
      <c r="F1685">
        <v>2007</v>
      </c>
      <c r="G1685" t="s">
        <v>303</v>
      </c>
      <c r="H1685" t="s">
        <v>8263</v>
      </c>
      <c r="I1685" t="s">
        <v>8264</v>
      </c>
      <c r="J1685" t="s">
        <v>26</v>
      </c>
      <c r="K1685" t="s">
        <v>27</v>
      </c>
      <c r="L1685" t="b">
        <v>1</v>
      </c>
      <c r="M1685" t="s">
        <v>8265</v>
      </c>
      <c r="N1685" t="str">
        <f>"667"</f>
        <v>667</v>
      </c>
      <c r="P1685" t="b">
        <v>0</v>
      </c>
      <c r="R1685" t="str">
        <f>"9781890595968"</f>
        <v>9781890595968</v>
      </c>
      <c r="S1685" t="str">
        <f>"9781934764275"</f>
        <v>9781934764275</v>
      </c>
      <c r="T1685">
        <v>471409849</v>
      </c>
    </row>
    <row r="1686" spans="1:20" x14ac:dyDescent="0.25">
      <c r="A1686">
        <v>466178</v>
      </c>
      <c r="B1686" t="s">
        <v>8266</v>
      </c>
      <c r="D1686" t="s">
        <v>8262</v>
      </c>
      <c r="E1686" t="s">
        <v>8262</v>
      </c>
      <c r="F1686">
        <v>2008</v>
      </c>
      <c r="G1686" t="s">
        <v>5739</v>
      </c>
      <c r="H1686" t="s">
        <v>8267</v>
      </c>
      <c r="I1686" t="s">
        <v>8268</v>
      </c>
      <c r="J1686" t="s">
        <v>26</v>
      </c>
      <c r="K1686" t="s">
        <v>27</v>
      </c>
      <c r="L1686" t="b">
        <v>1</v>
      </c>
      <c r="M1686" t="s">
        <v>8265</v>
      </c>
      <c r="N1686" t="str">
        <f>"664/.09"</f>
        <v>664/.09</v>
      </c>
      <c r="P1686" t="b">
        <v>0</v>
      </c>
      <c r="R1686" t="str">
        <f>"9781934764039"</f>
        <v>9781934764039</v>
      </c>
      <c r="S1686" t="str">
        <f>"9781934764220"</f>
        <v>9781934764220</v>
      </c>
      <c r="T1686">
        <v>803367060</v>
      </c>
    </row>
    <row r="1687" spans="1:20" x14ac:dyDescent="0.25">
      <c r="A1687">
        <v>464202</v>
      </c>
      <c r="B1687" t="s">
        <v>8269</v>
      </c>
      <c r="D1687" t="s">
        <v>240</v>
      </c>
      <c r="E1687" t="s">
        <v>1625</v>
      </c>
      <c r="F1687">
        <v>2010</v>
      </c>
      <c r="G1687" t="s">
        <v>57</v>
      </c>
      <c r="H1687" t="s">
        <v>8270</v>
      </c>
      <c r="I1687" t="s">
        <v>8271</v>
      </c>
      <c r="J1687" t="s">
        <v>26</v>
      </c>
      <c r="K1687" t="s">
        <v>27</v>
      </c>
      <c r="L1687" t="b">
        <v>1</v>
      </c>
      <c r="M1687" t="s">
        <v>8272</v>
      </c>
      <c r="N1687" t="str">
        <f>"370.8992/4073"</f>
        <v>370.8992/4073</v>
      </c>
      <c r="O1687" t="s">
        <v>5389</v>
      </c>
      <c r="P1687" t="b">
        <v>0</v>
      </c>
      <c r="R1687" t="str">
        <f>"9781584658566"</f>
        <v>9781584658566</v>
      </c>
      <c r="S1687" t="str">
        <f>"9781584659099"</f>
        <v>9781584659099</v>
      </c>
      <c r="T1687">
        <v>801410546</v>
      </c>
    </row>
    <row r="1688" spans="1:20" x14ac:dyDescent="0.25">
      <c r="A1688">
        <v>463814</v>
      </c>
      <c r="B1688" t="s">
        <v>8273</v>
      </c>
      <c r="D1688" t="s">
        <v>8274</v>
      </c>
      <c r="E1688" t="s">
        <v>8275</v>
      </c>
      <c r="F1688">
        <v>2002</v>
      </c>
      <c r="G1688" t="s">
        <v>8276</v>
      </c>
      <c r="H1688" t="s">
        <v>8277</v>
      </c>
      <c r="I1688" t="s">
        <v>8278</v>
      </c>
      <c r="J1688" t="s">
        <v>26</v>
      </c>
      <c r="K1688" t="s">
        <v>27</v>
      </c>
      <c r="L1688" t="b">
        <v>1</v>
      </c>
      <c r="M1688" t="s">
        <v>8279</v>
      </c>
      <c r="N1688" t="str">
        <f>"617.6"</f>
        <v>617.6</v>
      </c>
      <c r="O1688" t="s">
        <v>8273</v>
      </c>
      <c r="P1688" t="b">
        <v>0</v>
      </c>
      <c r="R1688" t="str">
        <f>"9781550090482"</f>
        <v>9781550090482</v>
      </c>
      <c r="S1688" t="str">
        <f>"9781607952503"</f>
        <v>9781607952503</v>
      </c>
      <c r="T1688">
        <v>186572332</v>
      </c>
    </row>
    <row r="1689" spans="1:20" x14ac:dyDescent="0.25">
      <c r="A1689">
        <v>463813</v>
      </c>
      <c r="B1689" t="s">
        <v>8280</v>
      </c>
      <c r="C1689" t="s">
        <v>8281</v>
      </c>
      <c r="D1689" t="s">
        <v>8274</v>
      </c>
      <c r="E1689" t="s">
        <v>8275</v>
      </c>
      <c r="F1689">
        <v>2009</v>
      </c>
      <c r="G1689" t="s">
        <v>8251</v>
      </c>
      <c r="H1689" t="s">
        <v>8282</v>
      </c>
      <c r="I1689" t="s">
        <v>8283</v>
      </c>
      <c r="J1689" t="s">
        <v>26</v>
      </c>
      <c r="K1689" t="s">
        <v>27</v>
      </c>
      <c r="L1689" t="b">
        <v>1</v>
      </c>
      <c r="M1689" t="s">
        <v>8284</v>
      </c>
      <c r="N1689" t="str">
        <f>"617.8"</f>
        <v>617.8</v>
      </c>
      <c r="P1689" t="b">
        <v>0</v>
      </c>
      <c r="R1689" t="str">
        <f>"9781550093377"</f>
        <v>9781550093377</v>
      </c>
      <c r="S1689" t="str">
        <f>"9781607950578"</f>
        <v>9781607950578</v>
      </c>
      <c r="T1689">
        <v>806034374</v>
      </c>
    </row>
    <row r="1690" spans="1:20" x14ac:dyDescent="0.25">
      <c r="A1690">
        <v>463446</v>
      </c>
      <c r="B1690" t="s">
        <v>8285</v>
      </c>
      <c r="C1690" t="s">
        <v>8286</v>
      </c>
      <c r="D1690" t="s">
        <v>717</v>
      </c>
      <c r="E1690" t="s">
        <v>8287</v>
      </c>
      <c r="F1690">
        <v>2012</v>
      </c>
      <c r="G1690" t="s">
        <v>2556</v>
      </c>
      <c r="H1690" t="s">
        <v>8288</v>
      </c>
      <c r="I1690" t="s">
        <v>8289</v>
      </c>
      <c r="J1690" t="s">
        <v>26</v>
      </c>
      <c r="K1690" t="s">
        <v>27</v>
      </c>
      <c r="L1690" t="b">
        <v>1</v>
      </c>
      <c r="M1690" t="s">
        <v>8290</v>
      </c>
      <c r="N1690" t="str">
        <f>"700.411.2"</f>
        <v>700.411.2</v>
      </c>
      <c r="O1690" t="s">
        <v>8291</v>
      </c>
      <c r="P1690" t="b">
        <v>0</v>
      </c>
      <c r="R1690" t="str">
        <f>"9780708324806"</f>
        <v>9780708324806</v>
      </c>
      <c r="S1690" t="str">
        <f>"9780708324820"</f>
        <v>9780708324820</v>
      </c>
      <c r="T1690">
        <v>802915250</v>
      </c>
    </row>
    <row r="1691" spans="1:20" x14ac:dyDescent="0.25">
      <c r="A1691">
        <v>462209</v>
      </c>
      <c r="B1691" t="s">
        <v>8292</v>
      </c>
      <c r="D1691" t="s">
        <v>1151</v>
      </c>
      <c r="E1691" t="s">
        <v>1737</v>
      </c>
      <c r="F1691">
        <v>2008</v>
      </c>
      <c r="G1691" t="s">
        <v>8293</v>
      </c>
      <c r="H1691" t="s">
        <v>8294</v>
      </c>
      <c r="I1691" t="s">
        <v>8295</v>
      </c>
      <c r="J1691" t="s">
        <v>26</v>
      </c>
      <c r="K1691" t="s">
        <v>27</v>
      </c>
      <c r="L1691" t="b">
        <v>1</v>
      </c>
      <c r="M1691" t="s">
        <v>8296</v>
      </c>
      <c r="N1691" t="str">
        <f>"363.6/1"</f>
        <v>363.6/1</v>
      </c>
      <c r="P1691" t="b">
        <v>0</v>
      </c>
      <c r="S1691" t="str">
        <f>"9781926706177"</f>
        <v>9781926706177</v>
      </c>
      <c r="T1691">
        <v>787844176</v>
      </c>
    </row>
    <row r="1692" spans="1:20" x14ac:dyDescent="0.25">
      <c r="A1692">
        <v>462198</v>
      </c>
      <c r="B1692" t="s">
        <v>8297</v>
      </c>
      <c r="C1692" t="s">
        <v>8298</v>
      </c>
      <c r="D1692" t="s">
        <v>131</v>
      </c>
      <c r="E1692" t="s">
        <v>1737</v>
      </c>
      <c r="F1692">
        <v>2010</v>
      </c>
      <c r="G1692" t="s">
        <v>1681</v>
      </c>
      <c r="H1692" t="s">
        <v>8299</v>
      </c>
      <c r="I1692" t="s">
        <v>8300</v>
      </c>
      <c r="J1692" t="s">
        <v>26</v>
      </c>
      <c r="K1692" t="s">
        <v>27</v>
      </c>
      <c r="L1692" t="b">
        <v>1</v>
      </c>
      <c r="M1692" t="s">
        <v>8301</v>
      </c>
      <c r="N1692" t="str">
        <f>"304.2"</f>
        <v>304.2</v>
      </c>
      <c r="P1692" t="b">
        <v>0</v>
      </c>
      <c r="R1692" t="str">
        <f>"9781553655701"</f>
        <v>9781553655701</v>
      </c>
      <c r="S1692" t="str">
        <f>"9781553656456"</f>
        <v>9781553656456</v>
      </c>
      <c r="T1692">
        <v>704740111</v>
      </c>
    </row>
    <row r="1693" spans="1:20" x14ac:dyDescent="0.25">
      <c r="A1693">
        <v>462195</v>
      </c>
      <c r="B1693" t="s">
        <v>8302</v>
      </c>
      <c r="C1693" t="s">
        <v>8303</v>
      </c>
      <c r="D1693" t="s">
        <v>131</v>
      </c>
      <c r="E1693" t="s">
        <v>1737</v>
      </c>
      <c r="F1693">
        <v>2007</v>
      </c>
      <c r="G1693" t="s">
        <v>8304</v>
      </c>
      <c r="H1693" t="s">
        <v>8305</v>
      </c>
      <c r="I1693" t="s">
        <v>8306</v>
      </c>
      <c r="J1693" t="s">
        <v>26</v>
      </c>
      <c r="K1693" t="s">
        <v>86</v>
      </c>
      <c r="L1693" t="b">
        <v>1</v>
      </c>
      <c r="M1693" t="s">
        <v>8307</v>
      </c>
      <c r="N1693" t="str">
        <f>"508.77"</f>
        <v>508.77</v>
      </c>
      <c r="O1693" t="s">
        <v>8308</v>
      </c>
      <c r="P1693" t="b">
        <v>0</v>
      </c>
      <c r="R1693" t="str">
        <f>"9781553658047"</f>
        <v>9781553658047</v>
      </c>
      <c r="S1693" t="str">
        <f>"9781553658931"</f>
        <v>9781553658931</v>
      </c>
      <c r="T1693">
        <v>761645908</v>
      </c>
    </row>
    <row r="1694" spans="1:20" x14ac:dyDescent="0.25">
      <c r="A1694">
        <v>462191</v>
      </c>
      <c r="B1694" t="s">
        <v>8309</v>
      </c>
      <c r="C1694" t="s">
        <v>8310</v>
      </c>
      <c r="D1694" t="s">
        <v>131</v>
      </c>
      <c r="E1694" t="s">
        <v>1737</v>
      </c>
      <c r="F1694">
        <v>2007</v>
      </c>
      <c r="G1694" t="s">
        <v>8311</v>
      </c>
      <c r="H1694" t="s">
        <v>8312</v>
      </c>
      <c r="I1694" t="s">
        <v>8313</v>
      </c>
      <c r="J1694" t="s">
        <v>26</v>
      </c>
      <c r="K1694" t="s">
        <v>86</v>
      </c>
      <c r="L1694" t="b">
        <v>1</v>
      </c>
      <c r="M1694" t="s">
        <v>8314</v>
      </c>
      <c r="N1694" t="str">
        <f>"614.4/3"</f>
        <v>614.4/3</v>
      </c>
      <c r="P1694" t="b">
        <v>0</v>
      </c>
      <c r="R1694" t="str">
        <f>"9781553652700"</f>
        <v>9781553652700</v>
      </c>
      <c r="S1694" t="str">
        <f>"9781926685014"</f>
        <v>9781926685014</v>
      </c>
      <c r="T1694">
        <v>647817612</v>
      </c>
    </row>
    <row r="1695" spans="1:20" x14ac:dyDescent="0.25">
      <c r="A1695">
        <v>462189</v>
      </c>
      <c r="B1695" t="s">
        <v>8315</v>
      </c>
      <c r="C1695" t="s">
        <v>8316</v>
      </c>
      <c r="D1695" t="s">
        <v>131</v>
      </c>
      <c r="E1695" t="s">
        <v>1737</v>
      </c>
      <c r="F1695">
        <v>2009</v>
      </c>
      <c r="G1695" t="s">
        <v>8317</v>
      </c>
      <c r="H1695" t="s">
        <v>8318</v>
      </c>
      <c r="I1695" t="s">
        <v>8319</v>
      </c>
      <c r="J1695" t="s">
        <v>26</v>
      </c>
      <c r="K1695" t="s">
        <v>86</v>
      </c>
      <c r="L1695" t="b">
        <v>1</v>
      </c>
      <c r="M1695" t="s">
        <v>8320</v>
      </c>
      <c r="N1695" t="str">
        <f>"304.2"</f>
        <v>304.2</v>
      </c>
      <c r="P1695" t="b">
        <v>0</v>
      </c>
      <c r="R1695" t="str">
        <f>"9781553653974"</f>
        <v>9781553653974</v>
      </c>
      <c r="S1695" t="str">
        <f>"9781926685441"</f>
        <v>9781926685441</v>
      </c>
      <c r="T1695">
        <v>701931789</v>
      </c>
    </row>
    <row r="1696" spans="1:20" x14ac:dyDescent="0.25">
      <c r="A1696">
        <v>462184</v>
      </c>
      <c r="B1696" t="s">
        <v>8321</v>
      </c>
      <c r="C1696" t="s">
        <v>7028</v>
      </c>
      <c r="D1696" t="s">
        <v>131</v>
      </c>
      <c r="E1696" t="s">
        <v>1737</v>
      </c>
      <c r="F1696">
        <v>2011</v>
      </c>
      <c r="G1696" t="s">
        <v>8065</v>
      </c>
      <c r="H1696" t="s">
        <v>8322</v>
      </c>
      <c r="J1696" t="s">
        <v>26</v>
      </c>
      <c r="K1696" t="s">
        <v>86</v>
      </c>
      <c r="L1696" t="b">
        <v>1</v>
      </c>
      <c r="M1696" t="s">
        <v>8323</v>
      </c>
      <c r="N1696" t="str">
        <f>"973.75"</f>
        <v>973.75</v>
      </c>
      <c r="P1696" t="b">
        <v>0</v>
      </c>
      <c r="R1696" t="str">
        <f>"9781553654469"</f>
        <v>9781553654469</v>
      </c>
      <c r="S1696" t="str">
        <f>"9781553659655"</f>
        <v>9781553659655</v>
      </c>
      <c r="T1696">
        <v>781488332</v>
      </c>
    </row>
    <row r="1697" spans="1:20" x14ac:dyDescent="0.25">
      <c r="A1697">
        <v>462181</v>
      </c>
      <c r="B1697" t="s">
        <v>8324</v>
      </c>
      <c r="C1697" t="s">
        <v>8325</v>
      </c>
      <c r="D1697" t="s">
        <v>131</v>
      </c>
      <c r="E1697" t="s">
        <v>1737</v>
      </c>
      <c r="F1697">
        <v>2009</v>
      </c>
      <c r="G1697" t="s">
        <v>8326</v>
      </c>
      <c r="H1697" t="s">
        <v>8327</v>
      </c>
      <c r="I1697" t="s">
        <v>8328</v>
      </c>
      <c r="J1697" t="s">
        <v>26</v>
      </c>
      <c r="K1697" t="s">
        <v>86</v>
      </c>
      <c r="L1697" t="b">
        <v>1</v>
      </c>
      <c r="M1697" t="s">
        <v>8329</v>
      </c>
      <c r="N1697" t="str">
        <f>"599.78"</f>
        <v>599.78</v>
      </c>
      <c r="P1697" t="b">
        <v>0</v>
      </c>
      <c r="R1697" t="str">
        <f>"9781553653875"</f>
        <v>9781553653875</v>
      </c>
      <c r="S1697" t="str">
        <f>"9781926685380"</f>
        <v>9781926685380</v>
      </c>
      <c r="T1697">
        <v>659391873</v>
      </c>
    </row>
    <row r="1698" spans="1:20" x14ac:dyDescent="0.25">
      <c r="A1698">
        <v>462169</v>
      </c>
      <c r="B1698" t="s">
        <v>8330</v>
      </c>
      <c r="C1698" t="s">
        <v>8331</v>
      </c>
      <c r="D1698" t="s">
        <v>131</v>
      </c>
      <c r="E1698" t="s">
        <v>8332</v>
      </c>
      <c r="F1698">
        <v>2009</v>
      </c>
      <c r="G1698" t="s">
        <v>283</v>
      </c>
      <c r="H1698" t="s">
        <v>8333</v>
      </c>
      <c r="I1698" t="s">
        <v>8334</v>
      </c>
      <c r="J1698" t="s">
        <v>26</v>
      </c>
      <c r="K1698" t="s">
        <v>86</v>
      </c>
      <c r="L1698" t="b">
        <v>1</v>
      </c>
      <c r="M1698" t="s">
        <v>8335</v>
      </c>
      <c r="N1698" t="str">
        <f>"305.896/5"</f>
        <v>305.896/5</v>
      </c>
      <c r="P1698" t="b">
        <v>0</v>
      </c>
      <c r="R1698" t="str">
        <f>"9781553655091"</f>
        <v>9781553655091</v>
      </c>
      <c r="S1698" t="str">
        <f>"9781553658238"</f>
        <v>9781553658238</v>
      </c>
      <c r="T1698">
        <v>696832260</v>
      </c>
    </row>
    <row r="1699" spans="1:20" x14ac:dyDescent="0.25">
      <c r="A1699">
        <v>462156</v>
      </c>
      <c r="B1699" t="s">
        <v>8336</v>
      </c>
      <c r="C1699" t="s">
        <v>8337</v>
      </c>
      <c r="D1699" t="s">
        <v>131</v>
      </c>
      <c r="E1699" t="s">
        <v>1737</v>
      </c>
      <c r="F1699">
        <v>2010</v>
      </c>
      <c r="G1699" t="s">
        <v>8338</v>
      </c>
      <c r="H1699" t="s">
        <v>8339</v>
      </c>
      <c r="I1699" t="s">
        <v>8340</v>
      </c>
      <c r="J1699" t="s">
        <v>26</v>
      </c>
      <c r="K1699" t="s">
        <v>86</v>
      </c>
      <c r="L1699" t="b">
        <v>1</v>
      </c>
      <c r="M1699" t="s">
        <v>8341</v>
      </c>
      <c r="N1699" t="str">
        <f>"930.1092/2"</f>
        <v>930.1092/2</v>
      </c>
      <c r="P1699" t="b">
        <v>0</v>
      </c>
      <c r="R1699" t="str">
        <f>"9781553654339"</f>
        <v>9781553654339</v>
      </c>
      <c r="S1699" t="str">
        <f>"9781553656418"</f>
        <v>9781553656418</v>
      </c>
      <c r="T1699">
        <v>696817887</v>
      </c>
    </row>
    <row r="1700" spans="1:20" x14ac:dyDescent="0.25">
      <c r="A1700">
        <v>462148</v>
      </c>
      <c r="B1700" t="s">
        <v>8342</v>
      </c>
      <c r="C1700" t="s">
        <v>8343</v>
      </c>
      <c r="D1700" t="s">
        <v>131</v>
      </c>
      <c r="E1700" t="s">
        <v>1737</v>
      </c>
      <c r="F1700">
        <v>2011</v>
      </c>
      <c r="G1700" t="s">
        <v>4132</v>
      </c>
      <c r="H1700" t="s">
        <v>8344</v>
      </c>
      <c r="I1700" t="s">
        <v>8345</v>
      </c>
      <c r="J1700" t="s">
        <v>26</v>
      </c>
      <c r="K1700" t="s">
        <v>86</v>
      </c>
      <c r="L1700" t="b">
        <v>1</v>
      </c>
      <c r="M1700" t="s">
        <v>8346</v>
      </c>
      <c r="N1700" t="str">
        <f>"363.738747"</f>
        <v>363.738747</v>
      </c>
      <c r="P1700" t="b">
        <v>0</v>
      </c>
      <c r="R1700" t="str">
        <f>"9781553658313"</f>
        <v>9781553658313</v>
      </c>
      <c r="S1700" t="str">
        <f>"9781553658320"</f>
        <v>9781553658320</v>
      </c>
      <c r="T1700">
        <v>768347677</v>
      </c>
    </row>
    <row r="1701" spans="1:20" x14ac:dyDescent="0.25">
      <c r="A1701">
        <v>462138</v>
      </c>
      <c r="B1701" t="s">
        <v>8347</v>
      </c>
      <c r="C1701" t="s">
        <v>8348</v>
      </c>
      <c r="D1701" t="s">
        <v>131</v>
      </c>
      <c r="E1701" t="s">
        <v>1737</v>
      </c>
      <c r="F1701">
        <v>2011</v>
      </c>
      <c r="G1701" t="s">
        <v>4617</v>
      </c>
      <c r="H1701" t="s">
        <v>8349</v>
      </c>
      <c r="I1701" t="s">
        <v>8350</v>
      </c>
      <c r="J1701" t="s">
        <v>26</v>
      </c>
      <c r="K1701" t="s">
        <v>86</v>
      </c>
      <c r="L1701" t="b">
        <v>1</v>
      </c>
      <c r="M1701" t="s">
        <v>8351</v>
      </c>
      <c r="N1701" t="str">
        <f>"508.711"</f>
        <v>508.711</v>
      </c>
      <c r="P1701" t="b">
        <v>0</v>
      </c>
      <c r="R1701" t="str">
        <f>"9781553658153"</f>
        <v>9781553658153</v>
      </c>
      <c r="S1701" t="str">
        <f>"9781553658160"</f>
        <v>9781553658160</v>
      </c>
      <c r="T1701">
        <v>769188247</v>
      </c>
    </row>
    <row r="1702" spans="1:20" x14ac:dyDescent="0.25">
      <c r="A1702">
        <v>462136</v>
      </c>
      <c r="B1702" t="s">
        <v>8352</v>
      </c>
      <c r="C1702" t="s">
        <v>8353</v>
      </c>
      <c r="D1702" t="s">
        <v>131</v>
      </c>
      <c r="E1702" t="s">
        <v>1737</v>
      </c>
      <c r="F1702">
        <v>2004</v>
      </c>
      <c r="G1702" t="s">
        <v>8354</v>
      </c>
      <c r="H1702" t="s">
        <v>8355</v>
      </c>
      <c r="I1702" t="s">
        <v>8356</v>
      </c>
      <c r="J1702" t="s">
        <v>26</v>
      </c>
      <c r="K1702" t="s">
        <v>86</v>
      </c>
      <c r="L1702" t="b">
        <v>1</v>
      </c>
      <c r="M1702" t="s">
        <v>8357</v>
      </c>
      <c r="N1702" t="str">
        <f>"304.2/8"</f>
        <v>304.2/8</v>
      </c>
      <c r="P1702" t="b">
        <v>0</v>
      </c>
      <c r="R1702" t="str">
        <f>"9781553650317"</f>
        <v>9781553650317</v>
      </c>
      <c r="S1702" t="str">
        <f>"9781926685199"</f>
        <v>9781926685199</v>
      </c>
      <c r="T1702">
        <v>717175827</v>
      </c>
    </row>
    <row r="1703" spans="1:20" x14ac:dyDescent="0.25">
      <c r="A1703">
        <v>462132</v>
      </c>
      <c r="B1703" t="s">
        <v>8358</v>
      </c>
      <c r="C1703" t="s">
        <v>8359</v>
      </c>
      <c r="D1703" t="s">
        <v>131</v>
      </c>
      <c r="E1703" t="s">
        <v>1737</v>
      </c>
      <c r="F1703">
        <v>2011</v>
      </c>
      <c r="G1703" t="s">
        <v>7034</v>
      </c>
      <c r="H1703" t="s">
        <v>8360</v>
      </c>
      <c r="I1703" t="s">
        <v>8361</v>
      </c>
      <c r="J1703" t="s">
        <v>26</v>
      </c>
      <c r="K1703" t="s">
        <v>86</v>
      </c>
      <c r="L1703" t="b">
        <v>1</v>
      </c>
      <c r="M1703" t="s">
        <v>8362</v>
      </c>
      <c r="N1703" t="str">
        <f>"634.9/6768097"</f>
        <v>634.9/6768097</v>
      </c>
      <c r="P1703" t="b">
        <v>0</v>
      </c>
      <c r="R1703" t="str">
        <f>"9781553655107"</f>
        <v>9781553655107</v>
      </c>
      <c r="S1703" t="str">
        <f>"9781553658948"</f>
        <v>9781553658948</v>
      </c>
      <c r="T1703">
        <v>759837451</v>
      </c>
    </row>
    <row r="1704" spans="1:20" x14ac:dyDescent="0.25">
      <c r="A1704">
        <v>462123</v>
      </c>
      <c r="B1704" t="s">
        <v>8363</v>
      </c>
      <c r="C1704" t="s">
        <v>8364</v>
      </c>
      <c r="D1704" t="s">
        <v>131</v>
      </c>
      <c r="E1704" t="s">
        <v>1737</v>
      </c>
      <c r="F1704">
        <v>2006</v>
      </c>
      <c r="G1704" t="s">
        <v>6128</v>
      </c>
      <c r="H1704" t="s">
        <v>8365</v>
      </c>
      <c r="I1704" t="s">
        <v>8366</v>
      </c>
      <c r="J1704" t="s">
        <v>26</v>
      </c>
      <c r="K1704" t="s">
        <v>86</v>
      </c>
      <c r="L1704" t="b">
        <v>1</v>
      </c>
      <c r="M1704" t="s">
        <v>8367</v>
      </c>
      <c r="N1704" t="str">
        <f>"333.72/092"</f>
        <v>333.72/092</v>
      </c>
      <c r="P1704" t="b">
        <v>0</v>
      </c>
      <c r="R1704" t="str">
        <f>"9781553652816"</f>
        <v>9781553652816</v>
      </c>
      <c r="S1704" t="str">
        <f>"9781926685137"</f>
        <v>9781926685137</v>
      </c>
      <c r="T1704">
        <v>717175809</v>
      </c>
    </row>
    <row r="1705" spans="1:20" x14ac:dyDescent="0.25">
      <c r="A1705">
        <v>462119</v>
      </c>
      <c r="B1705" t="s">
        <v>8368</v>
      </c>
      <c r="C1705" t="s">
        <v>8369</v>
      </c>
      <c r="D1705" t="s">
        <v>131</v>
      </c>
      <c r="E1705" t="s">
        <v>1737</v>
      </c>
      <c r="F1705">
        <v>2009</v>
      </c>
      <c r="G1705" t="s">
        <v>4132</v>
      </c>
      <c r="H1705" t="s">
        <v>8370</v>
      </c>
      <c r="I1705" t="s">
        <v>8371</v>
      </c>
      <c r="J1705" t="s">
        <v>26</v>
      </c>
      <c r="K1705" t="s">
        <v>86</v>
      </c>
      <c r="L1705" t="b">
        <v>1</v>
      </c>
      <c r="M1705" t="s">
        <v>8372</v>
      </c>
      <c r="N1705" t="str">
        <f>"363.738/74"</f>
        <v>363.738/74</v>
      </c>
      <c r="P1705" t="b">
        <v>0</v>
      </c>
      <c r="R1705" t="str">
        <f>"9781553654858"</f>
        <v>9781553654858</v>
      </c>
      <c r="S1705" t="str">
        <f>"9781926706771"</f>
        <v>9781926706771</v>
      </c>
      <c r="T1705">
        <v>688505738</v>
      </c>
    </row>
    <row r="1706" spans="1:20" x14ac:dyDescent="0.25">
      <c r="A1706">
        <v>462103</v>
      </c>
      <c r="B1706" t="s">
        <v>2047</v>
      </c>
      <c r="C1706" t="s">
        <v>2048</v>
      </c>
      <c r="D1706" t="s">
        <v>131</v>
      </c>
      <c r="E1706" t="s">
        <v>1737</v>
      </c>
      <c r="F1706">
        <v>2006</v>
      </c>
      <c r="G1706" t="s">
        <v>2049</v>
      </c>
      <c r="H1706" t="s">
        <v>8373</v>
      </c>
      <c r="I1706" t="s">
        <v>8374</v>
      </c>
      <c r="J1706" t="s">
        <v>26</v>
      </c>
      <c r="K1706" t="s">
        <v>86</v>
      </c>
      <c r="L1706" t="b">
        <v>1</v>
      </c>
      <c r="M1706" t="s">
        <v>8375</v>
      </c>
      <c r="N1706" t="str">
        <f>"155.2/32"</f>
        <v>155.2/32</v>
      </c>
      <c r="P1706" t="b">
        <v>0</v>
      </c>
      <c r="R1706" t="str">
        <f>"9781553651154"</f>
        <v>9781553651154</v>
      </c>
      <c r="S1706" t="str">
        <f>"9781926706559"</f>
        <v>9781926706559</v>
      </c>
      <c r="T1706">
        <v>701109189</v>
      </c>
    </row>
    <row r="1707" spans="1:20" x14ac:dyDescent="0.25">
      <c r="A1707">
        <v>462101</v>
      </c>
      <c r="B1707" t="s">
        <v>8376</v>
      </c>
      <c r="C1707" t="s">
        <v>8377</v>
      </c>
      <c r="D1707" t="s">
        <v>131</v>
      </c>
      <c r="E1707" t="s">
        <v>1737</v>
      </c>
      <c r="F1707">
        <v>2008</v>
      </c>
      <c r="G1707" t="s">
        <v>289</v>
      </c>
      <c r="H1707" t="s">
        <v>8378</v>
      </c>
      <c r="I1707" t="s">
        <v>8379</v>
      </c>
      <c r="J1707" t="s">
        <v>26</v>
      </c>
      <c r="K1707" t="s">
        <v>86</v>
      </c>
      <c r="L1707" t="b">
        <v>1</v>
      </c>
      <c r="M1707" t="s">
        <v>8380</v>
      </c>
      <c r="N1707" t="str">
        <f>"333.7"</f>
        <v>333.7</v>
      </c>
      <c r="O1707" t="s">
        <v>8381</v>
      </c>
      <c r="P1707" t="b">
        <v>0</v>
      </c>
      <c r="R1707" t="str">
        <f>"9781553653752"</f>
        <v>9781553653752</v>
      </c>
      <c r="S1707" t="str">
        <f>"9781926685052"</f>
        <v>9781926685052</v>
      </c>
      <c r="T1707">
        <v>476328356</v>
      </c>
    </row>
    <row r="1708" spans="1:20" x14ac:dyDescent="0.25">
      <c r="A1708">
        <v>462003</v>
      </c>
      <c r="B1708" t="s">
        <v>8382</v>
      </c>
      <c r="C1708" t="s">
        <v>8383</v>
      </c>
      <c r="D1708" t="s">
        <v>1151</v>
      </c>
      <c r="E1708" t="s">
        <v>1956</v>
      </c>
      <c r="F1708">
        <v>2007</v>
      </c>
      <c r="G1708" t="s">
        <v>4849</v>
      </c>
      <c r="H1708" t="s">
        <v>8384</v>
      </c>
      <c r="I1708" t="s">
        <v>8385</v>
      </c>
      <c r="J1708" t="s">
        <v>26</v>
      </c>
      <c r="K1708" t="s">
        <v>86</v>
      </c>
      <c r="L1708" t="b">
        <v>1</v>
      </c>
      <c r="M1708" t="s">
        <v>8386</v>
      </c>
      <c r="N1708" t="str">
        <f>"796.14"</f>
        <v>796.14</v>
      </c>
      <c r="P1708" t="b">
        <v>0</v>
      </c>
      <c r="R1708" t="str">
        <f>"9780865715875"</f>
        <v>9780865715875</v>
      </c>
      <c r="S1708" t="str">
        <f>"9781550923803"</f>
        <v>9781550923803</v>
      </c>
      <c r="T1708">
        <v>701110207</v>
      </c>
    </row>
    <row r="1709" spans="1:20" x14ac:dyDescent="0.25">
      <c r="A1709">
        <v>461679</v>
      </c>
      <c r="B1709" t="s">
        <v>8387</v>
      </c>
      <c r="C1709" t="s">
        <v>8388</v>
      </c>
      <c r="D1709" t="s">
        <v>123</v>
      </c>
      <c r="E1709" t="s">
        <v>219</v>
      </c>
      <c r="F1709">
        <v>2006</v>
      </c>
      <c r="G1709" t="s">
        <v>4159</v>
      </c>
      <c r="H1709" t="s">
        <v>8389</v>
      </c>
      <c r="I1709" t="s">
        <v>8390</v>
      </c>
      <c r="J1709" t="s">
        <v>26</v>
      </c>
      <c r="K1709" t="s">
        <v>48</v>
      </c>
      <c r="L1709" t="b">
        <v>1</v>
      </c>
      <c r="M1709" t="s">
        <v>8391</v>
      </c>
      <c r="N1709" t="str">
        <f>"294.3/3661"</f>
        <v>294.3/3661</v>
      </c>
      <c r="P1709" t="b">
        <v>0</v>
      </c>
      <c r="Q1709" t="b">
        <v>0</v>
      </c>
      <c r="R1709" t="str">
        <f>"9780861715121"</f>
        <v>9780861715121</v>
      </c>
      <c r="S1709" t="str">
        <f>"9780861717033"</f>
        <v>9780861717033</v>
      </c>
      <c r="T1709">
        <v>782879770</v>
      </c>
    </row>
    <row r="1710" spans="1:20" x14ac:dyDescent="0.25">
      <c r="A1710">
        <v>461646</v>
      </c>
      <c r="B1710" t="s">
        <v>8392</v>
      </c>
      <c r="C1710" t="s">
        <v>8393</v>
      </c>
      <c r="D1710" t="s">
        <v>2347</v>
      </c>
      <c r="E1710" t="s">
        <v>2348</v>
      </c>
      <c r="F1710">
        <v>2012</v>
      </c>
      <c r="G1710" t="s">
        <v>5398</v>
      </c>
      <c r="H1710" t="s">
        <v>8394</v>
      </c>
      <c r="I1710" t="s">
        <v>8395</v>
      </c>
      <c r="J1710" t="s">
        <v>26</v>
      </c>
      <c r="K1710" t="s">
        <v>27</v>
      </c>
      <c r="L1710" t="b">
        <v>1</v>
      </c>
      <c r="M1710" t="s">
        <v>8396</v>
      </c>
      <c r="N1710" t="str">
        <f>"364.660973"</f>
        <v>364.660973</v>
      </c>
      <c r="P1710" t="b">
        <v>0</v>
      </c>
      <c r="R1710" t="str">
        <f>"9781555537807"</f>
        <v>9781555537807</v>
      </c>
      <c r="S1710" t="str">
        <f>"9781555537821"</f>
        <v>9781555537821</v>
      </c>
      <c r="T1710">
        <v>795706976</v>
      </c>
    </row>
    <row r="1711" spans="1:20" x14ac:dyDescent="0.25">
      <c r="A1711">
        <v>461643</v>
      </c>
      <c r="B1711" t="s">
        <v>8397</v>
      </c>
      <c r="C1711" t="s">
        <v>8398</v>
      </c>
      <c r="D1711" t="s">
        <v>240</v>
      </c>
      <c r="E1711" t="s">
        <v>1625</v>
      </c>
      <c r="F1711">
        <v>2009</v>
      </c>
      <c r="G1711" t="s">
        <v>23</v>
      </c>
      <c r="H1711" t="s">
        <v>8399</v>
      </c>
      <c r="I1711" t="s">
        <v>8400</v>
      </c>
      <c r="J1711" t="s">
        <v>26</v>
      </c>
      <c r="K1711" t="s">
        <v>27</v>
      </c>
      <c r="L1711" t="b">
        <v>1</v>
      </c>
      <c r="M1711" t="s">
        <v>8401</v>
      </c>
      <c r="N1711" t="str">
        <f>"940.53/1801"</f>
        <v>940.53/1801</v>
      </c>
      <c r="O1711" t="s">
        <v>7192</v>
      </c>
      <c r="P1711" t="b">
        <v>0</v>
      </c>
      <c r="R1711" t="str">
        <f>"9781584657415"</f>
        <v>9781584657415</v>
      </c>
      <c r="S1711" t="str">
        <f>"9781584658269"</f>
        <v>9781584658269</v>
      </c>
      <c r="T1711">
        <v>646815630</v>
      </c>
    </row>
    <row r="1712" spans="1:20" x14ac:dyDescent="0.25">
      <c r="A1712">
        <v>461642</v>
      </c>
      <c r="B1712" t="s">
        <v>8402</v>
      </c>
      <c r="D1712" t="s">
        <v>240</v>
      </c>
      <c r="E1712" t="s">
        <v>1625</v>
      </c>
      <c r="F1712">
        <v>2010</v>
      </c>
      <c r="G1712" t="s">
        <v>182</v>
      </c>
      <c r="H1712" t="s">
        <v>8403</v>
      </c>
      <c r="I1712" t="s">
        <v>8404</v>
      </c>
      <c r="J1712" t="s">
        <v>26</v>
      </c>
      <c r="K1712" t="s">
        <v>27</v>
      </c>
      <c r="L1712" t="b">
        <v>1</v>
      </c>
      <c r="M1712" t="s">
        <v>8405</v>
      </c>
      <c r="N1712" t="str">
        <f>"943.087"</f>
        <v>943.087</v>
      </c>
      <c r="O1712" t="s">
        <v>1629</v>
      </c>
      <c r="P1712" t="b">
        <v>0</v>
      </c>
      <c r="R1712" t="str">
        <f>"9781584658658"</f>
        <v>9781584658658</v>
      </c>
      <c r="S1712" t="str">
        <f>"9781584659105"</f>
        <v>9781584659105</v>
      </c>
      <c r="T1712">
        <v>741507460</v>
      </c>
    </row>
    <row r="1713" spans="1:20" x14ac:dyDescent="0.25">
      <c r="A1713">
        <v>461641</v>
      </c>
      <c r="B1713" t="s">
        <v>8406</v>
      </c>
      <c r="C1713" t="s">
        <v>8407</v>
      </c>
      <c r="D1713" t="s">
        <v>240</v>
      </c>
      <c r="E1713" t="s">
        <v>1625</v>
      </c>
      <c r="F1713">
        <v>2008</v>
      </c>
      <c r="G1713" t="s">
        <v>182</v>
      </c>
      <c r="H1713" t="s">
        <v>8408</v>
      </c>
      <c r="I1713" t="s">
        <v>8409</v>
      </c>
      <c r="J1713" t="s">
        <v>26</v>
      </c>
      <c r="K1713" t="s">
        <v>27</v>
      </c>
      <c r="L1713" t="b">
        <v>1</v>
      </c>
      <c r="M1713" t="s">
        <v>8410</v>
      </c>
      <c r="N1713" t="str">
        <f>"305.48/892400904"</f>
        <v>305.48/892400904</v>
      </c>
      <c r="O1713" t="s">
        <v>5389</v>
      </c>
      <c r="P1713" t="b">
        <v>0</v>
      </c>
      <c r="R1713" t="str">
        <f>"9781584657026"</f>
        <v>9781584657026</v>
      </c>
      <c r="S1713" t="str">
        <f>"9781584658085"</f>
        <v>9781584658085</v>
      </c>
      <c r="T1713">
        <v>667076837</v>
      </c>
    </row>
    <row r="1714" spans="1:20" x14ac:dyDescent="0.25">
      <c r="A1714">
        <v>461449</v>
      </c>
      <c r="B1714" t="s">
        <v>8411</v>
      </c>
      <c r="C1714" t="s">
        <v>8412</v>
      </c>
      <c r="D1714" t="s">
        <v>1151</v>
      </c>
      <c r="E1714" t="s">
        <v>7022</v>
      </c>
      <c r="F1714">
        <v>2009</v>
      </c>
      <c r="G1714" t="s">
        <v>4558</v>
      </c>
      <c r="H1714" t="s">
        <v>8413</v>
      </c>
      <c r="I1714" t="s">
        <v>8414</v>
      </c>
      <c r="J1714" t="s">
        <v>26</v>
      </c>
      <c r="K1714" t="s">
        <v>27</v>
      </c>
      <c r="L1714" t="b">
        <v>1</v>
      </c>
      <c r="M1714" t="s">
        <v>8415</v>
      </c>
      <c r="N1714" t="str">
        <f>"327.7304"</f>
        <v>327.7304</v>
      </c>
      <c r="P1714" t="b">
        <v>0</v>
      </c>
      <c r="R1714" t="str">
        <f>"9780306818462"</f>
        <v>9780306818462</v>
      </c>
      <c r="S1714" t="str">
        <f>"9780786746309"</f>
        <v>9780786746309</v>
      </c>
      <c r="T1714">
        <v>609854581</v>
      </c>
    </row>
    <row r="1715" spans="1:20" x14ac:dyDescent="0.25">
      <c r="A1715">
        <v>461218</v>
      </c>
      <c r="B1715" t="s">
        <v>8416</v>
      </c>
      <c r="C1715" t="s">
        <v>8417</v>
      </c>
      <c r="D1715" t="s">
        <v>226</v>
      </c>
      <c r="E1715" t="s">
        <v>226</v>
      </c>
      <c r="F1715">
        <v>2012</v>
      </c>
      <c r="G1715" t="s">
        <v>182</v>
      </c>
      <c r="H1715" t="s">
        <v>8418</v>
      </c>
      <c r="I1715" t="s">
        <v>8419</v>
      </c>
      <c r="J1715" t="s">
        <v>26</v>
      </c>
      <c r="K1715" t="s">
        <v>27</v>
      </c>
      <c r="L1715" t="b">
        <v>1</v>
      </c>
      <c r="M1715" t="s">
        <v>8420</v>
      </c>
      <c r="N1715" t="str">
        <f>"296.09773/11"</f>
        <v>296.09773/11</v>
      </c>
      <c r="P1715" t="b">
        <v>0</v>
      </c>
      <c r="Q1715" t="b">
        <v>0</v>
      </c>
      <c r="R1715" t="str">
        <f>"9780226074542"</f>
        <v>9780226074542</v>
      </c>
      <c r="S1715" t="str">
        <f>"9780226074566"</f>
        <v>9780226074566</v>
      </c>
      <c r="T1715">
        <v>795128205</v>
      </c>
    </row>
    <row r="1716" spans="1:20" x14ac:dyDescent="0.25">
      <c r="A1716">
        <v>461217</v>
      </c>
      <c r="B1716" t="s">
        <v>8421</v>
      </c>
      <c r="D1716" t="s">
        <v>226</v>
      </c>
      <c r="E1716" t="s">
        <v>226</v>
      </c>
      <c r="F1716">
        <v>2012</v>
      </c>
      <c r="G1716" t="s">
        <v>182</v>
      </c>
      <c r="H1716" t="s">
        <v>8422</v>
      </c>
      <c r="I1716" t="s">
        <v>8423</v>
      </c>
      <c r="J1716" t="s">
        <v>26</v>
      </c>
      <c r="K1716" t="s">
        <v>27</v>
      </c>
      <c r="L1716" t="b">
        <v>1</v>
      </c>
      <c r="M1716" t="s">
        <v>8424</v>
      </c>
      <c r="N1716" t="str">
        <f>"937.0072"</f>
        <v>937.0072</v>
      </c>
      <c r="P1716" t="b">
        <v>0</v>
      </c>
      <c r="Q1716" t="b">
        <v>0</v>
      </c>
      <c r="R1716" t="str">
        <f>"9780226533858"</f>
        <v>9780226533858</v>
      </c>
      <c r="S1716" t="str">
        <f>"9780226533865"</f>
        <v>9780226533865</v>
      </c>
      <c r="T1716">
        <v>795241504</v>
      </c>
    </row>
    <row r="1717" spans="1:20" x14ac:dyDescent="0.25">
      <c r="A1717">
        <v>460933</v>
      </c>
      <c r="B1717" t="s">
        <v>8425</v>
      </c>
      <c r="D1717" t="s">
        <v>131</v>
      </c>
      <c r="E1717" t="s">
        <v>2389</v>
      </c>
      <c r="F1717">
        <v>2012</v>
      </c>
      <c r="G1717" t="s">
        <v>2666</v>
      </c>
      <c r="H1717" t="s">
        <v>8426</v>
      </c>
      <c r="J1717" t="s">
        <v>26</v>
      </c>
      <c r="K1717" t="s">
        <v>86</v>
      </c>
      <c r="L1717" t="b">
        <v>1</v>
      </c>
      <c r="M1717" t="s">
        <v>8427</v>
      </c>
      <c r="N1717" t="str">
        <f>"973.7415"</f>
        <v>973.7415</v>
      </c>
      <c r="O1717" t="s">
        <v>2670</v>
      </c>
      <c r="P1717" t="b">
        <v>0</v>
      </c>
      <c r="R1717" t="str">
        <f>"9780823233854"</f>
        <v>9780823233854</v>
      </c>
      <c r="S1717" t="str">
        <f>"9780823240425"</f>
        <v>9780823240425</v>
      </c>
      <c r="T1717">
        <v>795833607</v>
      </c>
    </row>
    <row r="1718" spans="1:20" x14ac:dyDescent="0.25">
      <c r="A1718">
        <v>458707</v>
      </c>
      <c r="B1718" t="s">
        <v>8428</v>
      </c>
      <c r="C1718" t="s">
        <v>8429</v>
      </c>
      <c r="D1718" t="s">
        <v>240</v>
      </c>
      <c r="E1718" t="s">
        <v>1625</v>
      </c>
      <c r="F1718">
        <v>2012</v>
      </c>
      <c r="G1718" t="s">
        <v>57</v>
      </c>
      <c r="H1718" t="s">
        <v>8430</v>
      </c>
      <c r="I1718" t="s">
        <v>8431</v>
      </c>
      <c r="J1718" t="s">
        <v>26</v>
      </c>
      <c r="K1718" t="s">
        <v>27</v>
      </c>
      <c r="L1718" t="b">
        <v>1</v>
      </c>
      <c r="M1718" t="s">
        <v>8432</v>
      </c>
      <c r="N1718" t="str">
        <f>"296.3/662"</f>
        <v>296.3/662</v>
      </c>
      <c r="O1718" t="s">
        <v>5389</v>
      </c>
      <c r="P1718" t="b">
        <v>0</v>
      </c>
      <c r="R1718" t="str">
        <f>"9781611682397"</f>
        <v>9781611682397</v>
      </c>
      <c r="S1718" t="str">
        <f>"9781611682410"</f>
        <v>9781611682410</v>
      </c>
      <c r="T1718">
        <v>794929951</v>
      </c>
    </row>
    <row r="1719" spans="1:20" x14ac:dyDescent="0.25">
      <c r="A1719">
        <v>458634</v>
      </c>
      <c r="B1719" t="s">
        <v>8433</v>
      </c>
      <c r="D1719" t="s">
        <v>240</v>
      </c>
      <c r="E1719" t="s">
        <v>1625</v>
      </c>
      <c r="F1719">
        <v>2012</v>
      </c>
      <c r="G1719" t="s">
        <v>182</v>
      </c>
      <c r="H1719" t="s">
        <v>8434</v>
      </c>
      <c r="I1719" t="s">
        <v>8435</v>
      </c>
      <c r="J1719" t="s">
        <v>26</v>
      </c>
      <c r="K1719" t="s">
        <v>27</v>
      </c>
      <c r="L1719" t="b">
        <v>1</v>
      </c>
      <c r="M1719" t="s">
        <v>8436</v>
      </c>
      <c r="N1719" t="str">
        <f>"305.892/404709045"</f>
        <v>305.892/404709045</v>
      </c>
      <c r="O1719" t="s">
        <v>8437</v>
      </c>
      <c r="P1719" t="b">
        <v>0</v>
      </c>
      <c r="R1719" t="str">
        <f>"9781611682717"</f>
        <v>9781611682717</v>
      </c>
      <c r="S1719" t="str">
        <f>"9781611682731"</f>
        <v>9781611682731</v>
      </c>
      <c r="T1719">
        <v>794930190</v>
      </c>
    </row>
    <row r="1720" spans="1:20" x14ac:dyDescent="0.25">
      <c r="A1720">
        <v>458337</v>
      </c>
      <c r="B1720" t="s">
        <v>8438</v>
      </c>
      <c r="C1720" t="s">
        <v>8439</v>
      </c>
      <c r="D1720" t="s">
        <v>8440</v>
      </c>
      <c r="E1720" t="s">
        <v>8441</v>
      </c>
      <c r="F1720">
        <v>2006</v>
      </c>
      <c r="G1720" t="s">
        <v>638</v>
      </c>
      <c r="H1720" t="s">
        <v>8442</v>
      </c>
      <c r="I1720" t="s">
        <v>8443</v>
      </c>
      <c r="J1720" t="s">
        <v>26</v>
      </c>
      <c r="K1720" t="s">
        <v>27</v>
      </c>
      <c r="L1720" t="b">
        <v>1</v>
      </c>
      <c r="M1720" t="s">
        <v>8444</v>
      </c>
      <c r="N1720" t="str">
        <f>"940.544947"</f>
        <v>940.544947</v>
      </c>
      <c r="O1720" t="s">
        <v>8445</v>
      </c>
      <c r="P1720" t="b">
        <v>0</v>
      </c>
      <c r="R1720" t="str">
        <f>"9781874622789"</f>
        <v>9781874622789</v>
      </c>
      <c r="S1720" t="str">
        <f>"9781907677540"</f>
        <v>9781907677540</v>
      </c>
      <c r="T1720">
        <v>794670706</v>
      </c>
    </row>
    <row r="1721" spans="1:20" x14ac:dyDescent="0.25">
      <c r="A1721">
        <v>458335</v>
      </c>
      <c r="B1721" t="s">
        <v>8446</v>
      </c>
      <c r="C1721" t="s">
        <v>8447</v>
      </c>
      <c r="D1721" t="s">
        <v>8440</v>
      </c>
      <c r="E1721" t="s">
        <v>8441</v>
      </c>
      <c r="F1721">
        <v>2006</v>
      </c>
      <c r="G1721" t="s">
        <v>638</v>
      </c>
      <c r="H1721" t="s">
        <v>8448</v>
      </c>
      <c r="I1721" t="s">
        <v>8449</v>
      </c>
      <c r="J1721" t="s">
        <v>26</v>
      </c>
      <c r="K1721" t="s">
        <v>27</v>
      </c>
      <c r="L1721" t="b">
        <v>1</v>
      </c>
      <c r="M1721" t="s">
        <v>8450</v>
      </c>
      <c r="N1721" t="str">
        <f>"940.548147"</f>
        <v>940.548147</v>
      </c>
      <c r="O1721" t="s">
        <v>8445</v>
      </c>
      <c r="P1721" t="b">
        <v>0</v>
      </c>
      <c r="R1721" t="str">
        <f>"9781874622635"</f>
        <v>9781874622635</v>
      </c>
      <c r="S1721" t="str">
        <f>"9781907677533"</f>
        <v>9781907677533</v>
      </c>
      <c r="T1721">
        <v>794670709</v>
      </c>
    </row>
    <row r="1722" spans="1:20" x14ac:dyDescent="0.25">
      <c r="A1722">
        <v>458332</v>
      </c>
      <c r="B1722" t="s">
        <v>8451</v>
      </c>
      <c r="C1722" t="s">
        <v>8452</v>
      </c>
      <c r="D1722" t="s">
        <v>8440</v>
      </c>
      <c r="E1722" t="s">
        <v>8441</v>
      </c>
      <c r="F1722">
        <v>2010</v>
      </c>
      <c r="G1722" t="s">
        <v>638</v>
      </c>
      <c r="H1722" t="s">
        <v>8453</v>
      </c>
      <c r="I1722" t="s">
        <v>8454</v>
      </c>
      <c r="J1722" t="s">
        <v>26</v>
      </c>
      <c r="K1722" t="s">
        <v>27</v>
      </c>
      <c r="L1722" t="b">
        <v>1</v>
      </c>
      <c r="M1722" t="s">
        <v>8455</v>
      </c>
      <c r="N1722" t="str">
        <f>"940.544947"</f>
        <v>940.544947</v>
      </c>
      <c r="O1722" t="s">
        <v>8445</v>
      </c>
      <c r="P1722" t="b">
        <v>0</v>
      </c>
      <c r="R1722" t="str">
        <f>"9781906033279"</f>
        <v>9781906033279</v>
      </c>
      <c r="S1722" t="str">
        <f>"9781907677557"</f>
        <v>9781907677557</v>
      </c>
      <c r="T1722">
        <v>794670410</v>
      </c>
    </row>
    <row r="1723" spans="1:20" x14ac:dyDescent="0.25">
      <c r="A1723">
        <v>456811</v>
      </c>
      <c r="B1723" t="s">
        <v>8456</v>
      </c>
      <c r="C1723" t="s">
        <v>8457</v>
      </c>
      <c r="D1723" t="s">
        <v>1364</v>
      </c>
      <c r="E1723" t="s">
        <v>1364</v>
      </c>
      <c r="F1723">
        <v>2012</v>
      </c>
      <c r="G1723" t="s">
        <v>8458</v>
      </c>
      <c r="H1723" t="s">
        <v>8459</v>
      </c>
      <c r="I1723" t="s">
        <v>8460</v>
      </c>
      <c r="J1723" t="s">
        <v>26</v>
      </c>
      <c r="K1723" t="s">
        <v>27</v>
      </c>
      <c r="L1723" t="b">
        <v>1</v>
      </c>
      <c r="M1723" t="s">
        <v>8461</v>
      </c>
      <c r="N1723" t="str">
        <f>"512.2"</f>
        <v>512.2</v>
      </c>
      <c r="O1723" t="s">
        <v>8462</v>
      </c>
      <c r="P1723" t="b">
        <v>0</v>
      </c>
      <c r="R1723" t="str">
        <f>"9783110278590"</f>
        <v>9783110278590</v>
      </c>
      <c r="S1723" t="str">
        <f>"9783110278606"</f>
        <v>9783110278606</v>
      </c>
      <c r="T1723">
        <v>795120010</v>
      </c>
    </row>
    <row r="1724" spans="1:20" x14ac:dyDescent="0.25">
      <c r="A1724">
        <v>456803</v>
      </c>
      <c r="B1724" t="s">
        <v>8463</v>
      </c>
      <c r="D1724" t="s">
        <v>1364</v>
      </c>
      <c r="E1724" t="s">
        <v>1364</v>
      </c>
      <c r="F1724">
        <v>2012</v>
      </c>
      <c r="G1724" t="s">
        <v>2476</v>
      </c>
      <c r="H1724" t="s">
        <v>8464</v>
      </c>
      <c r="I1724" t="s">
        <v>8465</v>
      </c>
      <c r="J1724" t="s">
        <v>26</v>
      </c>
      <c r="K1724" t="s">
        <v>27</v>
      </c>
      <c r="L1724" t="b">
        <v>1</v>
      </c>
      <c r="M1724" t="s">
        <v>8466</v>
      </c>
      <c r="N1724" t="str">
        <f>"127.092"</f>
        <v>127.092</v>
      </c>
      <c r="P1724" t="b">
        <v>0</v>
      </c>
      <c r="R1724" t="str">
        <f>"9783110204032"</f>
        <v>9783110204032</v>
      </c>
      <c r="S1724" t="str">
        <f>"9783110265408"</f>
        <v>9783110265408</v>
      </c>
      <c r="T1724">
        <v>794379526</v>
      </c>
    </row>
    <row r="1725" spans="1:20" x14ac:dyDescent="0.25">
      <c r="A1725">
        <v>456794</v>
      </c>
      <c r="B1725" t="s">
        <v>8467</v>
      </c>
      <c r="C1725" t="s">
        <v>8468</v>
      </c>
      <c r="D1725" t="s">
        <v>1364</v>
      </c>
      <c r="E1725" t="s">
        <v>1364</v>
      </c>
      <c r="F1725">
        <v>2012</v>
      </c>
      <c r="G1725" t="s">
        <v>8458</v>
      </c>
      <c r="H1725" t="s">
        <v>8469</v>
      </c>
      <c r="I1725" t="s">
        <v>8460</v>
      </c>
      <c r="J1725" t="s">
        <v>26</v>
      </c>
      <c r="K1725" t="s">
        <v>27</v>
      </c>
      <c r="L1725" t="b">
        <v>1</v>
      </c>
      <c r="M1725" t="s">
        <v>8470</v>
      </c>
      <c r="N1725" t="str">
        <f>"512"</f>
        <v>512</v>
      </c>
      <c r="O1725" t="s">
        <v>8462</v>
      </c>
      <c r="P1725" t="b">
        <v>0</v>
      </c>
      <c r="R1725" t="str">
        <f>"9783110250343"</f>
        <v>9783110250343</v>
      </c>
      <c r="S1725" t="str">
        <f>"9783110250404"</f>
        <v>9783110250404</v>
      </c>
      <c r="T1725">
        <v>795120008</v>
      </c>
    </row>
    <row r="1726" spans="1:20" x14ac:dyDescent="0.25">
      <c r="A1726">
        <v>454418</v>
      </c>
      <c r="B1726" t="s">
        <v>8471</v>
      </c>
      <c r="C1726" t="s">
        <v>8472</v>
      </c>
      <c r="D1726" t="s">
        <v>98</v>
      </c>
      <c r="E1726" t="s">
        <v>99</v>
      </c>
      <c r="F1726">
        <v>2012</v>
      </c>
      <c r="G1726" t="s">
        <v>7115</v>
      </c>
      <c r="H1726" t="s">
        <v>8473</v>
      </c>
      <c r="J1726" t="s">
        <v>26</v>
      </c>
      <c r="K1726" t="s">
        <v>27</v>
      </c>
      <c r="L1726" t="b">
        <v>1</v>
      </c>
      <c r="M1726" t="s">
        <v>8474</v>
      </c>
      <c r="N1726" t="str">
        <f>"270.209251"</f>
        <v>270.209251</v>
      </c>
      <c r="O1726" t="s">
        <v>8475</v>
      </c>
      <c r="P1726" t="b">
        <v>0</v>
      </c>
      <c r="R1726" t="str">
        <f>"9780199605798"</f>
        <v>9780199605798</v>
      </c>
      <c r="S1726" t="str">
        <f>"9780191644375"</f>
        <v>9780191644375</v>
      </c>
      <c r="T1726">
        <v>784886636</v>
      </c>
    </row>
    <row r="1727" spans="1:20" x14ac:dyDescent="0.25">
      <c r="A1727">
        <v>451590</v>
      </c>
      <c r="B1727" t="s">
        <v>8476</v>
      </c>
      <c r="D1727" t="s">
        <v>240</v>
      </c>
      <c r="E1727" t="s">
        <v>1625</v>
      </c>
      <c r="F1727">
        <v>2010</v>
      </c>
      <c r="G1727" t="s">
        <v>182</v>
      </c>
      <c r="H1727" t="s">
        <v>8477</v>
      </c>
      <c r="I1727" t="s">
        <v>8478</v>
      </c>
      <c r="J1727" t="s">
        <v>26</v>
      </c>
      <c r="K1727" t="s">
        <v>27</v>
      </c>
      <c r="L1727" t="b">
        <v>1</v>
      </c>
      <c r="M1727" t="s">
        <v>8479</v>
      </c>
      <c r="N1727" t="str">
        <f>"305.892/404"</f>
        <v>305.892/404</v>
      </c>
      <c r="O1727" t="s">
        <v>8437</v>
      </c>
      <c r="P1727" t="b">
        <v>0</v>
      </c>
      <c r="R1727" t="str">
        <f>"9781584658436"</f>
        <v>9781584658436</v>
      </c>
      <c r="S1727" t="str">
        <f>"9781584659136"</f>
        <v>9781584659136</v>
      </c>
      <c r="T1727">
        <v>794003579</v>
      </c>
    </row>
    <row r="1728" spans="1:20" x14ac:dyDescent="0.25">
      <c r="A1728">
        <v>449323</v>
      </c>
      <c r="B1728" t="s">
        <v>8480</v>
      </c>
      <c r="C1728" t="s">
        <v>8481</v>
      </c>
      <c r="D1728" t="s">
        <v>240</v>
      </c>
      <c r="E1728" t="s">
        <v>1625</v>
      </c>
      <c r="F1728">
        <v>2012</v>
      </c>
      <c r="G1728" t="s">
        <v>57</v>
      </c>
      <c r="H1728" t="s">
        <v>8482</v>
      </c>
      <c r="I1728" t="s">
        <v>8483</v>
      </c>
      <c r="J1728" t="s">
        <v>26</v>
      </c>
      <c r="K1728" t="s">
        <v>27</v>
      </c>
      <c r="L1728" t="b">
        <v>1</v>
      </c>
      <c r="M1728" t="s">
        <v>8484</v>
      </c>
      <c r="N1728" t="str">
        <f>"306.84/230882893"</f>
        <v>306.84/230882893</v>
      </c>
      <c r="O1728" t="s">
        <v>8485</v>
      </c>
      <c r="P1728" t="b">
        <v>0</v>
      </c>
      <c r="R1728" t="str">
        <f>"9781611682625"</f>
        <v>9781611682625</v>
      </c>
      <c r="S1728" t="str">
        <f>"9781611682960"</f>
        <v>9781611682960</v>
      </c>
      <c r="T1728">
        <v>793207518</v>
      </c>
    </row>
    <row r="1729" spans="1:20" x14ac:dyDescent="0.25">
      <c r="A1729">
        <v>448113</v>
      </c>
      <c r="B1729" t="s">
        <v>8486</v>
      </c>
      <c r="D1729" t="s">
        <v>1364</v>
      </c>
      <c r="E1729" t="s">
        <v>1364</v>
      </c>
      <c r="F1729">
        <v>2012</v>
      </c>
      <c r="G1729" t="s">
        <v>767</v>
      </c>
      <c r="H1729" t="s">
        <v>8487</v>
      </c>
      <c r="I1729" t="s">
        <v>8488</v>
      </c>
      <c r="J1729" t="s">
        <v>26</v>
      </c>
      <c r="K1729" t="s">
        <v>27</v>
      </c>
      <c r="L1729" t="b">
        <v>1</v>
      </c>
      <c r="M1729" t="s">
        <v>8489</v>
      </c>
      <c r="N1729" t="str">
        <f>"615.10835"</f>
        <v>615.10835</v>
      </c>
      <c r="O1729" t="s">
        <v>6260</v>
      </c>
      <c r="P1729" t="b">
        <v>0</v>
      </c>
      <c r="R1729" t="str">
        <f>"9783110275803"</f>
        <v>9783110275803</v>
      </c>
      <c r="S1729" t="str">
        <f>"9783110276367"</f>
        <v>9783110276367</v>
      </c>
      <c r="T1729">
        <v>794491426</v>
      </c>
    </row>
    <row r="1730" spans="1:20" x14ac:dyDescent="0.25">
      <c r="A1730">
        <v>448096</v>
      </c>
      <c r="B1730" t="s">
        <v>8490</v>
      </c>
      <c r="D1730" t="s">
        <v>1364</v>
      </c>
      <c r="E1730" t="s">
        <v>1364</v>
      </c>
      <c r="F1730">
        <v>2012</v>
      </c>
      <c r="G1730" t="s">
        <v>767</v>
      </c>
      <c r="H1730" t="s">
        <v>8487</v>
      </c>
      <c r="I1730" t="s">
        <v>8488</v>
      </c>
      <c r="J1730" t="s">
        <v>26</v>
      </c>
      <c r="K1730" t="s">
        <v>27</v>
      </c>
      <c r="L1730" t="b">
        <v>1</v>
      </c>
      <c r="M1730" t="s">
        <v>8489</v>
      </c>
      <c r="N1730" t="str">
        <f>"616.89/140835"</f>
        <v>616.89/140835</v>
      </c>
      <c r="O1730" t="s">
        <v>6260</v>
      </c>
      <c r="P1730" t="b">
        <v>0</v>
      </c>
      <c r="R1730" t="str">
        <f>"9783110255225"</f>
        <v>9783110255225</v>
      </c>
      <c r="S1730" t="str">
        <f>"9783110255706"</f>
        <v>9783110255706</v>
      </c>
      <c r="T1730">
        <v>794491437</v>
      </c>
    </row>
    <row r="1731" spans="1:20" x14ac:dyDescent="0.25">
      <c r="A1731">
        <v>447948</v>
      </c>
      <c r="B1731" t="s">
        <v>8491</v>
      </c>
      <c r="D1731" t="s">
        <v>240</v>
      </c>
      <c r="E1731" t="s">
        <v>1625</v>
      </c>
      <c r="F1731">
        <v>2011</v>
      </c>
      <c r="G1731" t="s">
        <v>57</v>
      </c>
      <c r="H1731" t="s">
        <v>8492</v>
      </c>
      <c r="I1731" t="s">
        <v>8493</v>
      </c>
      <c r="J1731" t="s">
        <v>26</v>
      </c>
      <c r="K1731" t="s">
        <v>27</v>
      </c>
      <c r="L1731" t="b">
        <v>1</v>
      </c>
      <c r="M1731" t="s">
        <v>8494</v>
      </c>
      <c r="N1731" t="str">
        <f>"973/.04924"</f>
        <v>973/.04924</v>
      </c>
      <c r="O1731" t="s">
        <v>8495</v>
      </c>
      <c r="P1731" t="b">
        <v>0</v>
      </c>
      <c r="R1731" t="str">
        <f>"9781611681925"</f>
        <v>9781611681925</v>
      </c>
      <c r="S1731" t="str">
        <f>"9781611681932"</f>
        <v>9781611681932</v>
      </c>
      <c r="T1731">
        <v>762961309</v>
      </c>
    </row>
    <row r="1732" spans="1:20" x14ac:dyDescent="0.25">
      <c r="A1732">
        <v>446287</v>
      </c>
      <c r="B1732" t="s">
        <v>8496</v>
      </c>
      <c r="D1732" t="s">
        <v>8497</v>
      </c>
      <c r="E1732" t="s">
        <v>8497</v>
      </c>
      <c r="F1732">
        <v>2005</v>
      </c>
      <c r="G1732" t="s">
        <v>8498</v>
      </c>
      <c r="H1732" t="s">
        <v>8499</v>
      </c>
      <c r="I1732" t="s">
        <v>8500</v>
      </c>
      <c r="J1732" t="s">
        <v>26</v>
      </c>
      <c r="K1732" t="s">
        <v>27</v>
      </c>
      <c r="L1732" t="b">
        <v>1</v>
      </c>
      <c r="M1732" t="s">
        <v>8501</v>
      </c>
      <c r="N1732" t="str">
        <f>"616.4/620654"</f>
        <v>616.4/620654</v>
      </c>
      <c r="P1732" t="b">
        <v>0</v>
      </c>
      <c r="R1732" t="str">
        <f>"9780880913331"</f>
        <v>9780880913331</v>
      </c>
      <c r="S1732" t="str">
        <f>"9780880914659"</f>
        <v>9780880914659</v>
      </c>
      <c r="T1732">
        <v>792742347</v>
      </c>
    </row>
    <row r="1733" spans="1:20" x14ac:dyDescent="0.25">
      <c r="A1733">
        <v>446286</v>
      </c>
      <c r="B1733" t="s">
        <v>8502</v>
      </c>
      <c r="D1733" t="s">
        <v>8497</v>
      </c>
      <c r="E1733" t="s">
        <v>8497</v>
      </c>
      <c r="F1733">
        <v>2006</v>
      </c>
      <c r="G1733" t="s">
        <v>8503</v>
      </c>
      <c r="H1733" t="s">
        <v>8504</v>
      </c>
      <c r="I1733" t="s">
        <v>8505</v>
      </c>
      <c r="J1733" t="s">
        <v>26</v>
      </c>
      <c r="K1733" t="s">
        <v>27</v>
      </c>
      <c r="L1733" t="b">
        <v>1</v>
      </c>
      <c r="M1733" t="s">
        <v>8506</v>
      </c>
      <c r="N1733" t="str">
        <f>"616.99/40654"</f>
        <v>616.99/40654</v>
      </c>
      <c r="P1733" t="b">
        <v>0</v>
      </c>
      <c r="R1733" t="str">
        <f>"9780880913393"</f>
        <v>9780880913393</v>
      </c>
      <c r="S1733" t="str">
        <f>"9780880914642"</f>
        <v>9780880914642</v>
      </c>
      <c r="T1733">
        <v>792742346</v>
      </c>
    </row>
    <row r="1734" spans="1:20" x14ac:dyDescent="0.25">
      <c r="A1734">
        <v>446285</v>
      </c>
      <c r="B1734" t="s">
        <v>8507</v>
      </c>
      <c r="C1734" t="s">
        <v>8508</v>
      </c>
      <c r="D1734" t="s">
        <v>8497</v>
      </c>
      <c r="E1734" t="s">
        <v>8497</v>
      </c>
      <c r="F1734">
        <v>2004</v>
      </c>
      <c r="G1734" t="s">
        <v>1054</v>
      </c>
      <c r="H1734" t="s">
        <v>8509</v>
      </c>
      <c r="I1734" t="s">
        <v>8510</v>
      </c>
      <c r="J1734" t="s">
        <v>26</v>
      </c>
      <c r="K1734" t="s">
        <v>27</v>
      </c>
      <c r="L1734" t="b">
        <v>1</v>
      </c>
      <c r="M1734" t="s">
        <v>8511</v>
      </c>
      <c r="N1734" t="str">
        <f>"616.1/0654"</f>
        <v>616.1/0654</v>
      </c>
      <c r="P1734" t="b">
        <v>0</v>
      </c>
      <c r="R1734" t="str">
        <f>"9780880913454"</f>
        <v>9780880913454</v>
      </c>
      <c r="S1734" t="str">
        <f>"9780880914635"</f>
        <v>9780880914635</v>
      </c>
      <c r="T1734">
        <v>792742206</v>
      </c>
    </row>
    <row r="1735" spans="1:20" x14ac:dyDescent="0.25">
      <c r="A1735">
        <v>445831</v>
      </c>
      <c r="B1735" t="s">
        <v>8512</v>
      </c>
      <c r="C1735" t="s">
        <v>8513</v>
      </c>
      <c r="D1735" t="s">
        <v>8514</v>
      </c>
      <c r="E1735" t="s">
        <v>8515</v>
      </c>
      <c r="F1735">
        <v>2012</v>
      </c>
      <c r="G1735" t="s">
        <v>8516</v>
      </c>
      <c r="H1735" t="s">
        <v>8517</v>
      </c>
      <c r="I1735" t="s">
        <v>8518</v>
      </c>
      <c r="J1735" t="s">
        <v>26</v>
      </c>
      <c r="K1735" t="s">
        <v>27</v>
      </c>
      <c r="L1735" t="b">
        <v>1</v>
      </c>
      <c r="M1735" t="s">
        <v>8519</v>
      </c>
      <c r="N1735" t="str">
        <f>"531"</f>
        <v>531</v>
      </c>
      <c r="P1735" t="b">
        <v>0</v>
      </c>
      <c r="Q1735" t="b">
        <v>0</v>
      </c>
      <c r="R1735" t="str">
        <f>"9780986492679"</f>
        <v>9780986492679</v>
      </c>
      <c r="S1735" t="str">
        <f>"9781461905417"</f>
        <v>9781461905417</v>
      </c>
      <c r="T1735">
        <v>785209184</v>
      </c>
    </row>
    <row r="1736" spans="1:20" x14ac:dyDescent="0.25">
      <c r="A1736">
        <v>443802</v>
      </c>
      <c r="B1736" t="s">
        <v>8520</v>
      </c>
      <c r="C1736" t="s">
        <v>8521</v>
      </c>
      <c r="D1736" t="s">
        <v>8522</v>
      </c>
      <c r="E1736" t="s">
        <v>8523</v>
      </c>
      <c r="F1736">
        <v>2012</v>
      </c>
      <c r="G1736" t="s">
        <v>8524</v>
      </c>
      <c r="H1736" t="s">
        <v>8525</v>
      </c>
      <c r="I1736" t="s">
        <v>8526</v>
      </c>
      <c r="J1736" t="s">
        <v>26</v>
      </c>
      <c r="K1736" t="s">
        <v>27</v>
      </c>
      <c r="L1736" t="b">
        <v>1</v>
      </c>
      <c r="M1736" t="s">
        <v>8527</v>
      </c>
      <c r="N1736" t="str">
        <f>"553.6/4"</f>
        <v>553.6/4</v>
      </c>
      <c r="P1736" t="b">
        <v>0</v>
      </c>
      <c r="R1736" t="str">
        <f>"9780873353588"</f>
        <v>9780873353588</v>
      </c>
      <c r="S1736" t="str">
        <f>"9780873353595"</f>
        <v>9780873353595</v>
      </c>
      <c r="T1736">
        <v>782880194</v>
      </c>
    </row>
    <row r="1737" spans="1:20" x14ac:dyDescent="0.25">
      <c r="A1737">
        <v>443583</v>
      </c>
      <c r="B1737" t="s">
        <v>8528</v>
      </c>
      <c r="D1737" t="s">
        <v>203</v>
      </c>
      <c r="E1737" t="s">
        <v>1109</v>
      </c>
      <c r="F1737">
        <v>2012</v>
      </c>
      <c r="G1737" t="s">
        <v>1110</v>
      </c>
      <c r="H1737" t="s">
        <v>8529</v>
      </c>
      <c r="I1737" t="s">
        <v>8530</v>
      </c>
      <c r="J1737" t="s">
        <v>26</v>
      </c>
      <c r="K1737" t="s">
        <v>86</v>
      </c>
      <c r="L1737" t="b">
        <v>1</v>
      </c>
      <c r="M1737" t="s">
        <v>8531</v>
      </c>
      <c r="N1737" t="str">
        <f>"616.89"</f>
        <v>616.89</v>
      </c>
      <c r="P1737" t="b">
        <v>0</v>
      </c>
      <c r="R1737" t="str">
        <f>"9781908020345"</f>
        <v>9781908020345</v>
      </c>
      <c r="S1737" t="str">
        <f>"9781908020475"</f>
        <v>9781908020475</v>
      </c>
      <c r="T1737">
        <v>782879929</v>
      </c>
    </row>
    <row r="1738" spans="1:20" x14ac:dyDescent="0.25">
      <c r="A1738">
        <v>443506</v>
      </c>
      <c r="B1738" t="s">
        <v>8532</v>
      </c>
      <c r="C1738" t="s">
        <v>8533</v>
      </c>
      <c r="D1738" t="s">
        <v>240</v>
      </c>
      <c r="E1738" t="s">
        <v>6717</v>
      </c>
      <c r="F1738">
        <v>2011</v>
      </c>
      <c r="G1738" t="s">
        <v>242</v>
      </c>
      <c r="H1738" t="s">
        <v>8534</v>
      </c>
      <c r="I1738" t="s">
        <v>2600</v>
      </c>
      <c r="J1738" t="s">
        <v>26</v>
      </c>
      <c r="K1738" t="s">
        <v>27</v>
      </c>
      <c r="L1738" t="b">
        <v>1</v>
      </c>
      <c r="M1738" t="s">
        <v>8535</v>
      </c>
      <c r="N1738" t="str">
        <f>"328.73/092;B"</f>
        <v>328.73/092;B</v>
      </c>
      <c r="P1738" t="b">
        <v>0</v>
      </c>
      <c r="R1738" t="str">
        <f>"9781611681864"</f>
        <v>9781611681864</v>
      </c>
      <c r="S1738" t="str">
        <f>"9781611681871"</f>
        <v>9781611681871</v>
      </c>
      <c r="T1738">
        <v>757827316</v>
      </c>
    </row>
    <row r="1739" spans="1:20" x14ac:dyDescent="0.25">
      <c r="A1739">
        <v>443496</v>
      </c>
      <c r="B1739" t="s">
        <v>8536</v>
      </c>
      <c r="C1739" t="s">
        <v>8537</v>
      </c>
      <c r="D1739" t="s">
        <v>2347</v>
      </c>
      <c r="E1739" t="s">
        <v>2348</v>
      </c>
      <c r="F1739">
        <v>2012</v>
      </c>
      <c r="G1739" t="s">
        <v>4799</v>
      </c>
      <c r="H1739" t="s">
        <v>8538</v>
      </c>
      <c r="I1739" t="s">
        <v>8539</v>
      </c>
      <c r="J1739" t="s">
        <v>26</v>
      </c>
      <c r="K1739" t="s">
        <v>27</v>
      </c>
      <c r="L1739" t="b">
        <v>1</v>
      </c>
      <c r="M1739" t="s">
        <v>8540</v>
      </c>
      <c r="N1739" t="str">
        <f>"345.73/0773"</f>
        <v>345.73/0773</v>
      </c>
      <c r="P1739" t="b">
        <v>0</v>
      </c>
      <c r="R1739" t="str">
        <f>"9781555537166"</f>
        <v>9781555537166</v>
      </c>
      <c r="S1739" t="str">
        <f>"9781555537173"</f>
        <v>9781555537173</v>
      </c>
      <c r="T1739">
        <v>774956263</v>
      </c>
    </row>
    <row r="1740" spans="1:20" x14ac:dyDescent="0.25">
      <c r="A1740">
        <v>443483</v>
      </c>
      <c r="B1740" t="s">
        <v>8541</v>
      </c>
      <c r="C1740" t="s">
        <v>8542</v>
      </c>
      <c r="D1740" t="s">
        <v>240</v>
      </c>
      <c r="E1740" t="s">
        <v>1625</v>
      </c>
      <c r="F1740">
        <v>2011</v>
      </c>
      <c r="G1740" t="s">
        <v>57</v>
      </c>
      <c r="H1740" t="s">
        <v>8543</v>
      </c>
      <c r="I1740" t="s">
        <v>8544</v>
      </c>
      <c r="J1740" t="s">
        <v>26</v>
      </c>
      <c r="K1740" t="s">
        <v>27</v>
      </c>
      <c r="L1740" t="b">
        <v>1</v>
      </c>
      <c r="M1740" t="s">
        <v>8545</v>
      </c>
      <c r="N1740" t="str">
        <f>"296.7/5"</f>
        <v>296.7/5</v>
      </c>
      <c r="O1740" t="s">
        <v>8437</v>
      </c>
      <c r="P1740" t="b">
        <v>0</v>
      </c>
      <c r="R1740" t="str">
        <f>"9781584659815"</f>
        <v>9781584659815</v>
      </c>
      <c r="S1740" t="str">
        <f>"9781611680225"</f>
        <v>9781611680225</v>
      </c>
      <c r="T1740">
        <v>781678820</v>
      </c>
    </row>
    <row r="1741" spans="1:20" x14ac:dyDescent="0.25">
      <c r="A1741">
        <v>442482</v>
      </c>
      <c r="B1741" t="s">
        <v>8546</v>
      </c>
      <c r="C1741" t="s">
        <v>8547</v>
      </c>
      <c r="D1741" t="s">
        <v>8548</v>
      </c>
      <c r="E1741" t="s">
        <v>8548</v>
      </c>
      <c r="F1741">
        <v>2006</v>
      </c>
      <c r="G1741" t="s">
        <v>6270</v>
      </c>
      <c r="H1741" t="s">
        <v>8549</v>
      </c>
      <c r="I1741" t="s">
        <v>8550</v>
      </c>
      <c r="J1741" t="s">
        <v>26</v>
      </c>
      <c r="K1741" t="s">
        <v>27</v>
      </c>
      <c r="L1741" t="b">
        <v>1</v>
      </c>
      <c r="M1741" t="s">
        <v>8551</v>
      </c>
      <c r="N1741" t="str">
        <f>"005.13/3"</f>
        <v>005.13/3</v>
      </c>
      <c r="P1741" t="b">
        <v>0</v>
      </c>
      <c r="R1741" t="str">
        <f>"9781932504057"</f>
        <v>9781932504057</v>
      </c>
      <c r="S1741" t="str">
        <f>"9781932504033"</f>
        <v>9781932504033</v>
      </c>
      <c r="T1741">
        <v>190812122</v>
      </c>
    </row>
    <row r="1742" spans="1:20" x14ac:dyDescent="0.25">
      <c r="A1742">
        <v>442080</v>
      </c>
      <c r="B1742" t="s">
        <v>8552</v>
      </c>
      <c r="D1742" t="s">
        <v>131</v>
      </c>
      <c r="E1742" t="s">
        <v>1885</v>
      </c>
      <c r="F1742">
        <v>2012</v>
      </c>
      <c r="G1742" t="s">
        <v>8553</v>
      </c>
      <c r="H1742" t="s">
        <v>8554</v>
      </c>
      <c r="I1742" t="s">
        <v>8555</v>
      </c>
      <c r="J1742" t="s">
        <v>26</v>
      </c>
      <c r="K1742" t="s">
        <v>86</v>
      </c>
      <c r="L1742" t="b">
        <v>1</v>
      </c>
      <c r="M1742" t="s">
        <v>8556</v>
      </c>
      <c r="N1742" t="str">
        <f>"510"</f>
        <v>510</v>
      </c>
      <c r="O1742" t="s">
        <v>6762</v>
      </c>
      <c r="P1742" t="b">
        <v>0</v>
      </c>
      <c r="Q1742" t="b">
        <v>0</v>
      </c>
      <c r="R1742" t="str">
        <f>"9781578593736"</f>
        <v>9781578593736</v>
      </c>
      <c r="S1742" t="str">
        <f>"9781578593880"</f>
        <v>9781578593880</v>
      </c>
      <c r="T1742">
        <v>785208096</v>
      </c>
    </row>
    <row r="1743" spans="1:20" x14ac:dyDescent="0.25">
      <c r="A1743">
        <v>441896</v>
      </c>
      <c r="B1743" t="s">
        <v>8557</v>
      </c>
      <c r="C1743" t="s">
        <v>8558</v>
      </c>
      <c r="D1743" t="s">
        <v>131</v>
      </c>
      <c r="E1743" t="s">
        <v>8559</v>
      </c>
      <c r="F1743">
        <v>2010</v>
      </c>
      <c r="G1743" t="s">
        <v>8560</v>
      </c>
      <c r="H1743" t="s">
        <v>8561</v>
      </c>
      <c r="I1743" t="s">
        <v>8562</v>
      </c>
      <c r="J1743" t="s">
        <v>26</v>
      </c>
      <c r="K1743" t="s">
        <v>86</v>
      </c>
      <c r="L1743" t="b">
        <v>1</v>
      </c>
      <c r="M1743" t="s">
        <v>8563</v>
      </c>
      <c r="N1743" t="str">
        <f>"277.307"</f>
        <v>277.307</v>
      </c>
      <c r="P1743" t="b">
        <v>0</v>
      </c>
      <c r="R1743" t="str">
        <f>"9781933346304"</f>
        <v>9781933346304</v>
      </c>
      <c r="S1743" t="str">
        <f>"9781933346724"</f>
        <v>9781933346724</v>
      </c>
      <c r="T1743">
        <v>781635699</v>
      </c>
    </row>
    <row r="1744" spans="1:20" x14ac:dyDescent="0.25">
      <c r="A1744">
        <v>441062</v>
      </c>
      <c r="B1744" t="s">
        <v>8564</v>
      </c>
      <c r="C1744" t="s">
        <v>8547</v>
      </c>
      <c r="D1744" t="s">
        <v>8548</v>
      </c>
      <c r="E1744" t="s">
        <v>8548</v>
      </c>
      <c r="F1744">
        <v>2003</v>
      </c>
      <c r="G1744" t="s">
        <v>8565</v>
      </c>
      <c r="H1744" t="s">
        <v>8566</v>
      </c>
      <c r="I1744" t="s">
        <v>8567</v>
      </c>
      <c r="J1744" t="s">
        <v>26</v>
      </c>
      <c r="K1744" t="s">
        <v>27</v>
      </c>
      <c r="L1744" t="b">
        <v>1</v>
      </c>
      <c r="M1744" t="s">
        <v>8568</v>
      </c>
      <c r="N1744" t="str">
        <f>"005.13/3"</f>
        <v>005.13/3</v>
      </c>
      <c r="P1744" t="b">
        <v>0</v>
      </c>
      <c r="R1744" t="str">
        <f>"9781932504026"</f>
        <v>9781932504026</v>
      </c>
      <c r="S1744" t="str">
        <f>"9781932504002"</f>
        <v>9781932504002</v>
      </c>
      <c r="T1744">
        <v>63119604</v>
      </c>
    </row>
    <row r="1745" spans="1:20" x14ac:dyDescent="0.25">
      <c r="A1745">
        <v>440986</v>
      </c>
      <c r="B1745" t="s">
        <v>8569</v>
      </c>
      <c r="D1745" t="s">
        <v>6667</v>
      </c>
      <c r="E1745" t="s">
        <v>6668</v>
      </c>
      <c r="F1745">
        <v>2008</v>
      </c>
      <c r="G1745" t="s">
        <v>2742</v>
      </c>
      <c r="H1745" t="s">
        <v>8570</v>
      </c>
      <c r="I1745" t="s">
        <v>8571</v>
      </c>
      <c r="J1745" t="s">
        <v>26</v>
      </c>
      <c r="K1745" t="s">
        <v>86</v>
      </c>
      <c r="L1745" t="b">
        <v>1</v>
      </c>
      <c r="M1745" t="s">
        <v>8572</v>
      </c>
      <c r="N1745" t="str">
        <f>"570.1"</f>
        <v>570.1</v>
      </c>
      <c r="P1745" t="b">
        <v>0</v>
      </c>
      <c r="Q1745" t="b">
        <v>0</v>
      </c>
      <c r="R1745" t="str">
        <f>"9781845400880"</f>
        <v>9781845400880</v>
      </c>
      <c r="S1745" t="str">
        <f>"9781845403775"</f>
        <v>9781845403775</v>
      </c>
      <c r="T1745">
        <v>781629123</v>
      </c>
    </row>
    <row r="1746" spans="1:20" x14ac:dyDescent="0.25">
      <c r="A1746">
        <v>439735</v>
      </c>
      <c r="B1746" t="s">
        <v>8573</v>
      </c>
      <c r="D1746" t="s">
        <v>98</v>
      </c>
      <c r="E1746" t="s">
        <v>99</v>
      </c>
      <c r="F1746">
        <v>2004</v>
      </c>
      <c r="G1746" t="s">
        <v>5082</v>
      </c>
      <c r="H1746" t="s">
        <v>8574</v>
      </c>
      <c r="I1746" t="s">
        <v>8575</v>
      </c>
      <c r="J1746" t="s">
        <v>26</v>
      </c>
      <c r="K1746" t="s">
        <v>27</v>
      </c>
      <c r="L1746" t="b">
        <v>1</v>
      </c>
      <c r="M1746" t="s">
        <v>8576</v>
      </c>
      <c r="N1746" t="str">
        <f>"823.7"</f>
        <v>823.7</v>
      </c>
      <c r="O1746" t="s">
        <v>8577</v>
      </c>
      <c r="P1746" t="b">
        <v>1</v>
      </c>
      <c r="R1746" t="str">
        <f>"9780192804785"</f>
        <v>9780192804785</v>
      </c>
      <c r="S1746" t="str">
        <f>"9780191583100"</f>
        <v>9780191583100</v>
      </c>
      <c r="T1746">
        <v>780535948</v>
      </c>
    </row>
    <row r="1747" spans="1:20" x14ac:dyDescent="0.25">
      <c r="A1747">
        <v>439185</v>
      </c>
      <c r="B1747" t="s">
        <v>8578</v>
      </c>
      <c r="C1747" t="s">
        <v>8579</v>
      </c>
      <c r="D1747" t="s">
        <v>2269</v>
      </c>
      <c r="E1747" t="s">
        <v>2269</v>
      </c>
      <c r="F1747">
        <v>2009</v>
      </c>
      <c r="G1747" t="s">
        <v>8580</v>
      </c>
      <c r="H1747" t="s">
        <v>8581</v>
      </c>
      <c r="I1747" t="s">
        <v>8582</v>
      </c>
      <c r="J1747" t="s">
        <v>26</v>
      </c>
      <c r="K1747" t="s">
        <v>27</v>
      </c>
      <c r="L1747" t="b">
        <v>1</v>
      </c>
      <c r="M1747" t="s">
        <v>8583</v>
      </c>
      <c r="N1747" t="str">
        <f>"615/.365"</f>
        <v>615/.365</v>
      </c>
      <c r="O1747" t="s">
        <v>8584</v>
      </c>
      <c r="P1747" t="b">
        <v>0</v>
      </c>
      <c r="Q1747" t="b">
        <v>0</v>
      </c>
      <c r="R1747" t="str">
        <f>"9781608768295"</f>
        <v>9781608768295</v>
      </c>
      <c r="S1747" t="str">
        <f>"9781620810552"</f>
        <v>9781620810552</v>
      </c>
      <c r="T1747">
        <v>779973647</v>
      </c>
    </row>
    <row r="1748" spans="1:20" x14ac:dyDescent="0.25">
      <c r="A1748">
        <v>439176</v>
      </c>
      <c r="B1748" t="s">
        <v>8585</v>
      </c>
      <c r="C1748" t="s">
        <v>316</v>
      </c>
      <c r="D1748" t="s">
        <v>2269</v>
      </c>
      <c r="E1748" t="s">
        <v>2269</v>
      </c>
      <c r="F1748">
        <v>2009</v>
      </c>
      <c r="G1748" t="s">
        <v>2742</v>
      </c>
      <c r="H1748" t="s">
        <v>8586</v>
      </c>
      <c r="I1748" t="s">
        <v>8587</v>
      </c>
      <c r="J1748" t="s">
        <v>26</v>
      </c>
      <c r="K1748" t="s">
        <v>27</v>
      </c>
      <c r="L1748" t="b">
        <v>1</v>
      </c>
      <c r="M1748" t="s">
        <v>8588</v>
      </c>
      <c r="N1748" t="str">
        <f>"570"</f>
        <v>570</v>
      </c>
      <c r="O1748" t="s">
        <v>8589</v>
      </c>
      <c r="P1748" t="b">
        <v>0</v>
      </c>
      <c r="R1748" t="str">
        <f>"9781607418672"</f>
        <v>9781607418672</v>
      </c>
      <c r="S1748" t="str">
        <f>"9781619429666"</f>
        <v>9781619429666</v>
      </c>
      <c r="T1748">
        <v>779847853</v>
      </c>
    </row>
    <row r="1749" spans="1:20" x14ac:dyDescent="0.25">
      <c r="A1749">
        <v>439157</v>
      </c>
      <c r="B1749" t="s">
        <v>8590</v>
      </c>
      <c r="C1749" t="s">
        <v>8591</v>
      </c>
      <c r="D1749" t="s">
        <v>5731</v>
      </c>
      <c r="E1749" t="s">
        <v>5502</v>
      </c>
      <c r="F1749">
        <v>2011</v>
      </c>
      <c r="G1749" t="s">
        <v>8592</v>
      </c>
      <c r="H1749" t="s">
        <v>8593</v>
      </c>
      <c r="I1749" t="s">
        <v>8594</v>
      </c>
      <c r="J1749" t="s">
        <v>26</v>
      </c>
      <c r="K1749" t="s">
        <v>86</v>
      </c>
      <c r="L1749" t="b">
        <v>1</v>
      </c>
      <c r="M1749" t="s">
        <v>8595</v>
      </c>
      <c r="N1749" t="str">
        <f>"302.23/1"</f>
        <v>302.23/1</v>
      </c>
      <c r="P1749" t="b">
        <v>0</v>
      </c>
      <c r="R1749" t="str">
        <f>"9781442212206"</f>
        <v>9781442212206</v>
      </c>
      <c r="S1749" t="str">
        <f>"9781442212213"</f>
        <v>9781442212213</v>
      </c>
      <c r="T1749">
        <v>779828638</v>
      </c>
    </row>
    <row r="1750" spans="1:20" x14ac:dyDescent="0.25">
      <c r="A1750">
        <v>439090</v>
      </c>
      <c r="B1750" t="s">
        <v>8596</v>
      </c>
      <c r="D1750" t="s">
        <v>8522</v>
      </c>
      <c r="E1750" t="s">
        <v>8597</v>
      </c>
      <c r="F1750">
        <v>2010</v>
      </c>
      <c r="G1750" t="s">
        <v>8524</v>
      </c>
      <c r="H1750" t="s">
        <v>8598</v>
      </c>
      <c r="I1750" t="s">
        <v>8599</v>
      </c>
      <c r="J1750" t="s">
        <v>26</v>
      </c>
      <c r="K1750" t="s">
        <v>27</v>
      </c>
      <c r="L1750" t="b">
        <v>1</v>
      </c>
      <c r="M1750" t="s">
        <v>8600</v>
      </c>
      <c r="N1750" t="str">
        <f>"624.1/93"</f>
        <v>624.1/93</v>
      </c>
      <c r="P1750" t="b">
        <v>0</v>
      </c>
      <c r="R1750" t="str">
        <f>"9780873353311"</f>
        <v>9780873353311</v>
      </c>
      <c r="S1750" t="str">
        <f>"9780873353335"</f>
        <v>9780873353335</v>
      </c>
      <c r="T1750">
        <v>703138008</v>
      </c>
    </row>
    <row r="1751" spans="1:20" x14ac:dyDescent="0.25">
      <c r="A1751">
        <v>438648</v>
      </c>
      <c r="B1751" t="s">
        <v>8601</v>
      </c>
      <c r="C1751" t="s">
        <v>8602</v>
      </c>
      <c r="D1751" t="s">
        <v>8603</v>
      </c>
      <c r="E1751" t="s">
        <v>8604</v>
      </c>
      <c r="F1751">
        <v>2008</v>
      </c>
      <c r="G1751" t="s">
        <v>6607</v>
      </c>
      <c r="H1751" t="s">
        <v>8605</v>
      </c>
      <c r="I1751" t="s">
        <v>8606</v>
      </c>
      <c r="J1751" t="s">
        <v>26</v>
      </c>
      <c r="K1751" t="s">
        <v>27</v>
      </c>
      <c r="L1751" t="b">
        <v>1</v>
      </c>
      <c r="M1751" t="s">
        <v>8607</v>
      </c>
      <c r="N1751" t="str">
        <f>"005.8"</f>
        <v>005.8</v>
      </c>
      <c r="P1751" t="b">
        <v>0</v>
      </c>
      <c r="S1751" t="str">
        <f>"9781905356539"</f>
        <v>9781905356539</v>
      </c>
      <c r="T1751">
        <v>667608164</v>
      </c>
    </row>
    <row r="1752" spans="1:20" x14ac:dyDescent="0.25">
      <c r="A1752">
        <v>438289</v>
      </c>
      <c r="B1752" t="s">
        <v>8608</v>
      </c>
      <c r="D1752" t="s">
        <v>226</v>
      </c>
      <c r="E1752" t="s">
        <v>226</v>
      </c>
      <c r="F1752">
        <v>2012</v>
      </c>
      <c r="G1752" t="s">
        <v>2310</v>
      </c>
      <c r="H1752" t="s">
        <v>8609</v>
      </c>
      <c r="I1752" t="s">
        <v>4251</v>
      </c>
      <c r="J1752" t="s">
        <v>26</v>
      </c>
      <c r="K1752" t="s">
        <v>27</v>
      </c>
      <c r="L1752" t="b">
        <v>1</v>
      </c>
      <c r="M1752" t="s">
        <v>8610</v>
      </c>
      <c r="N1752" t="str">
        <f>"811/.6"</f>
        <v>811/.6</v>
      </c>
      <c r="O1752" t="s">
        <v>8611</v>
      </c>
      <c r="P1752" t="b">
        <v>0</v>
      </c>
      <c r="Q1752" t="b">
        <v>0</v>
      </c>
      <c r="R1752" t="str">
        <f>"9780226240398"</f>
        <v>9780226240398</v>
      </c>
      <c r="S1752" t="str">
        <f>"9780226240404"</f>
        <v>9780226240404</v>
      </c>
      <c r="T1752">
        <v>779389453</v>
      </c>
    </row>
    <row r="1753" spans="1:20" x14ac:dyDescent="0.25">
      <c r="A1753">
        <v>437101</v>
      </c>
      <c r="B1753" t="s">
        <v>8612</v>
      </c>
      <c r="C1753" t="s">
        <v>8613</v>
      </c>
      <c r="D1753" t="s">
        <v>2013</v>
      </c>
      <c r="E1753" t="s">
        <v>2013</v>
      </c>
      <c r="F1753">
        <v>2009</v>
      </c>
      <c r="G1753" t="s">
        <v>3705</v>
      </c>
      <c r="H1753" t="s">
        <v>8614</v>
      </c>
      <c r="J1753" t="s">
        <v>26</v>
      </c>
      <c r="K1753" t="s">
        <v>27</v>
      </c>
      <c r="L1753" t="b">
        <v>1</v>
      </c>
      <c r="M1753" t="s">
        <v>8615</v>
      </c>
      <c r="N1753" t="str">
        <f>"940.5325493"</f>
        <v>940.5325493</v>
      </c>
      <c r="O1753" t="s">
        <v>8616</v>
      </c>
      <c r="P1753" t="b">
        <v>0</v>
      </c>
      <c r="R1753" t="str">
        <f>"9789058677594"</f>
        <v>9789058677594</v>
      </c>
      <c r="S1753" t="str">
        <f>"9789461660527"</f>
        <v>9789461660527</v>
      </c>
      <c r="T1753">
        <v>715171898</v>
      </c>
    </row>
    <row r="1754" spans="1:20" x14ac:dyDescent="0.25">
      <c r="A1754">
        <v>436921</v>
      </c>
      <c r="B1754" t="s">
        <v>8617</v>
      </c>
      <c r="C1754" t="s">
        <v>8618</v>
      </c>
      <c r="D1754" t="s">
        <v>8232</v>
      </c>
      <c r="E1754" t="s">
        <v>8232</v>
      </c>
      <c r="F1754">
        <v>2008</v>
      </c>
      <c r="G1754" t="s">
        <v>8619</v>
      </c>
      <c r="H1754" t="s">
        <v>8620</v>
      </c>
      <c r="I1754" t="s">
        <v>8621</v>
      </c>
      <c r="J1754" t="s">
        <v>26</v>
      </c>
      <c r="K1754" t="s">
        <v>27</v>
      </c>
      <c r="L1754" t="b">
        <v>1</v>
      </c>
      <c r="M1754" t="s">
        <v>8622</v>
      </c>
      <c r="N1754" t="str">
        <f>"363.70525"</f>
        <v>363.70525</v>
      </c>
      <c r="O1754" t="s">
        <v>8623</v>
      </c>
      <c r="P1754" t="b">
        <v>0</v>
      </c>
      <c r="Q1754" t="b">
        <v>0</v>
      </c>
      <c r="R1754" t="str">
        <f>"9781905940424"</f>
        <v>9781905940424</v>
      </c>
      <c r="S1754" t="str">
        <f>"9781907518201"</f>
        <v>9781907518201</v>
      </c>
      <c r="T1754">
        <v>778568700</v>
      </c>
    </row>
    <row r="1755" spans="1:20" x14ac:dyDescent="0.25">
      <c r="A1755">
        <v>436872</v>
      </c>
      <c r="B1755" t="s">
        <v>8624</v>
      </c>
      <c r="C1755" t="s">
        <v>8625</v>
      </c>
      <c r="D1755" t="s">
        <v>8232</v>
      </c>
      <c r="E1755" t="s">
        <v>8232</v>
      </c>
      <c r="F1755">
        <v>2007</v>
      </c>
      <c r="G1755" t="s">
        <v>8626</v>
      </c>
      <c r="H1755" t="s">
        <v>8627</v>
      </c>
      <c r="I1755" t="s">
        <v>8628</v>
      </c>
      <c r="J1755" t="s">
        <v>26</v>
      </c>
      <c r="K1755" t="s">
        <v>27</v>
      </c>
      <c r="L1755" t="b">
        <v>1</v>
      </c>
      <c r="M1755" t="s">
        <v>8622</v>
      </c>
      <c r="N1755" t="str">
        <f>"333.72"</f>
        <v>333.72</v>
      </c>
      <c r="O1755" t="s">
        <v>8623</v>
      </c>
      <c r="P1755" t="b">
        <v>0</v>
      </c>
      <c r="Q1755" t="b">
        <v>0</v>
      </c>
      <c r="R1755" t="str">
        <f>"9781905940080"</f>
        <v>9781905940080</v>
      </c>
      <c r="S1755" t="str">
        <f>"9781907755057"</f>
        <v>9781907755057</v>
      </c>
      <c r="T1755">
        <v>642661053</v>
      </c>
    </row>
    <row r="1756" spans="1:20" x14ac:dyDescent="0.25">
      <c r="A1756">
        <v>436839</v>
      </c>
      <c r="B1756" t="s">
        <v>8629</v>
      </c>
      <c r="C1756" t="s">
        <v>8630</v>
      </c>
      <c r="D1756" t="s">
        <v>8232</v>
      </c>
      <c r="E1756" t="s">
        <v>8232</v>
      </c>
      <c r="F1756">
        <v>2006</v>
      </c>
      <c r="G1756" t="s">
        <v>8631</v>
      </c>
      <c r="H1756" t="s">
        <v>8632</v>
      </c>
      <c r="I1756" t="s">
        <v>8633</v>
      </c>
      <c r="J1756" t="s">
        <v>26</v>
      </c>
      <c r="K1756" t="s">
        <v>27</v>
      </c>
      <c r="L1756" t="b">
        <v>1</v>
      </c>
      <c r="M1756" t="s">
        <v>8634</v>
      </c>
      <c r="N1756" t="str">
        <f>"647.95"</f>
        <v>647.95</v>
      </c>
      <c r="O1756" t="s">
        <v>8635</v>
      </c>
      <c r="P1756" t="b">
        <v>0</v>
      </c>
      <c r="Q1756" t="b">
        <v>0</v>
      </c>
      <c r="R1756" t="str">
        <f>"9781904902881"</f>
        <v>9781904902881</v>
      </c>
      <c r="S1756" t="str">
        <f>"9781908189516"</f>
        <v>9781908189516</v>
      </c>
      <c r="T1756">
        <v>778564995</v>
      </c>
    </row>
    <row r="1757" spans="1:20" x14ac:dyDescent="0.25">
      <c r="A1757">
        <v>435987</v>
      </c>
      <c r="B1757" t="s">
        <v>8636</v>
      </c>
      <c r="C1757" t="s">
        <v>8637</v>
      </c>
      <c r="D1757" t="s">
        <v>1364</v>
      </c>
      <c r="E1757" t="s">
        <v>1364</v>
      </c>
      <c r="F1757">
        <v>2012</v>
      </c>
      <c r="G1757" t="s">
        <v>4566</v>
      </c>
      <c r="H1757" t="s">
        <v>8638</v>
      </c>
      <c r="I1757" t="s">
        <v>8639</v>
      </c>
      <c r="J1757" t="s">
        <v>26</v>
      </c>
      <c r="K1757" t="s">
        <v>27</v>
      </c>
      <c r="L1757" t="b">
        <v>1</v>
      </c>
      <c r="M1757" t="s">
        <v>8640</v>
      </c>
      <c r="N1757" t="str">
        <f>"880.9/3552"</f>
        <v>880.9/3552</v>
      </c>
      <c r="O1757" t="s">
        <v>8641</v>
      </c>
      <c r="P1757" t="b">
        <v>0</v>
      </c>
      <c r="R1757" t="str">
        <f>"9783110245592"</f>
        <v>9783110245592</v>
      </c>
      <c r="S1757" t="str">
        <f>"9783110245608"</f>
        <v>9783110245608</v>
      </c>
      <c r="T1757">
        <v>785782852</v>
      </c>
    </row>
    <row r="1758" spans="1:20" x14ac:dyDescent="0.25">
      <c r="A1758">
        <v>433630</v>
      </c>
      <c r="B1758" t="s">
        <v>8642</v>
      </c>
      <c r="D1758" t="s">
        <v>1526</v>
      </c>
      <c r="E1758" t="s">
        <v>1526</v>
      </c>
      <c r="F1758">
        <v>2006</v>
      </c>
      <c r="G1758" t="s">
        <v>8643</v>
      </c>
      <c r="H1758" t="s">
        <v>8644</v>
      </c>
      <c r="I1758" t="s">
        <v>8645</v>
      </c>
      <c r="J1758" t="s">
        <v>26</v>
      </c>
      <c r="K1758" t="s">
        <v>27</v>
      </c>
      <c r="L1758" t="b">
        <v>1</v>
      </c>
      <c r="M1758" t="s">
        <v>8646</v>
      </c>
      <c r="N1758" t="str">
        <f>"005.72"</f>
        <v>005.72</v>
      </c>
      <c r="O1758" t="s">
        <v>8647</v>
      </c>
      <c r="P1758" t="b">
        <v>0</v>
      </c>
      <c r="R1758" t="str">
        <f>"9781904811978"</f>
        <v>9781904811978</v>
      </c>
      <c r="S1758" t="str">
        <f>"9781847190796"</f>
        <v>9781847190796</v>
      </c>
      <c r="T1758">
        <v>715175871</v>
      </c>
    </row>
    <row r="1759" spans="1:20" x14ac:dyDescent="0.25">
      <c r="A1759">
        <v>433629</v>
      </c>
      <c r="B1759" t="s">
        <v>8648</v>
      </c>
      <c r="C1759" t="s">
        <v>8649</v>
      </c>
      <c r="D1759" t="s">
        <v>1526</v>
      </c>
      <c r="E1759" t="s">
        <v>1526</v>
      </c>
      <c r="F1759">
        <v>2006</v>
      </c>
      <c r="G1759" t="s">
        <v>8650</v>
      </c>
      <c r="H1759" t="s">
        <v>8651</v>
      </c>
      <c r="I1759" t="s">
        <v>8652</v>
      </c>
      <c r="J1759" t="s">
        <v>26</v>
      </c>
      <c r="K1759" t="s">
        <v>27</v>
      </c>
      <c r="L1759" t="b">
        <v>1</v>
      </c>
      <c r="M1759" t="s">
        <v>8653</v>
      </c>
      <c r="N1759" t="str">
        <f>"006.7"</f>
        <v>006.7</v>
      </c>
      <c r="P1759" t="b">
        <v>0</v>
      </c>
      <c r="R1759" t="str">
        <f>"9781904811893"</f>
        <v>9781904811893</v>
      </c>
      <c r="S1759" t="str">
        <f>"9781847190727"</f>
        <v>9781847190727</v>
      </c>
      <c r="T1759">
        <v>776162918</v>
      </c>
    </row>
    <row r="1760" spans="1:20" x14ac:dyDescent="0.25">
      <c r="A1760">
        <v>433628</v>
      </c>
      <c r="B1760" t="s">
        <v>8654</v>
      </c>
      <c r="D1760" t="s">
        <v>1526</v>
      </c>
      <c r="E1760" t="s">
        <v>1526</v>
      </c>
      <c r="F1760">
        <v>2006</v>
      </c>
      <c r="G1760" t="s">
        <v>8655</v>
      </c>
      <c r="H1760" t="s">
        <v>8656</v>
      </c>
      <c r="I1760" t="s">
        <v>8657</v>
      </c>
      <c r="J1760" t="s">
        <v>26</v>
      </c>
      <c r="K1760" t="s">
        <v>27</v>
      </c>
      <c r="L1760" t="b">
        <v>1</v>
      </c>
      <c r="M1760" t="s">
        <v>8658</v>
      </c>
      <c r="N1760" t="str">
        <f>"004.6"</f>
        <v>004.6</v>
      </c>
      <c r="O1760" t="s">
        <v>8647</v>
      </c>
      <c r="P1760" t="b">
        <v>0</v>
      </c>
      <c r="R1760" t="str">
        <f>"9781904811657"</f>
        <v>9781904811657</v>
      </c>
      <c r="S1760" t="str">
        <f>"9781847190512"</f>
        <v>9781847190512</v>
      </c>
      <c r="T1760">
        <v>715175714</v>
      </c>
    </row>
    <row r="1761" spans="1:20" x14ac:dyDescent="0.25">
      <c r="A1761">
        <v>433626</v>
      </c>
      <c r="B1761" t="s">
        <v>8659</v>
      </c>
      <c r="C1761" t="s">
        <v>8660</v>
      </c>
      <c r="D1761" t="s">
        <v>1526</v>
      </c>
      <c r="E1761" t="s">
        <v>1526</v>
      </c>
      <c r="F1761">
        <v>2006</v>
      </c>
      <c r="G1761" t="s">
        <v>8565</v>
      </c>
      <c r="H1761" t="s">
        <v>8661</v>
      </c>
      <c r="I1761" t="s">
        <v>8662</v>
      </c>
      <c r="J1761" t="s">
        <v>26</v>
      </c>
      <c r="K1761" t="s">
        <v>27</v>
      </c>
      <c r="L1761" t="b">
        <v>1</v>
      </c>
      <c r="M1761" t="s">
        <v>8663</v>
      </c>
      <c r="N1761" t="str">
        <f>"005.133"</f>
        <v>005.133</v>
      </c>
      <c r="O1761" t="s">
        <v>8647</v>
      </c>
      <c r="P1761" t="b">
        <v>0</v>
      </c>
      <c r="R1761" t="str">
        <f>"9781904811442"</f>
        <v>9781904811442</v>
      </c>
      <c r="S1761" t="str">
        <f>"9781847190321"</f>
        <v>9781847190321</v>
      </c>
      <c r="T1761">
        <v>698587978</v>
      </c>
    </row>
    <row r="1762" spans="1:20" x14ac:dyDescent="0.25">
      <c r="A1762">
        <v>433474</v>
      </c>
      <c r="B1762" t="s">
        <v>8664</v>
      </c>
      <c r="D1762" t="s">
        <v>8274</v>
      </c>
      <c r="E1762" t="s">
        <v>8275</v>
      </c>
      <c r="F1762">
        <v>2004</v>
      </c>
      <c r="G1762" t="s">
        <v>5567</v>
      </c>
      <c r="H1762" t="s">
        <v>8665</v>
      </c>
      <c r="I1762" t="s">
        <v>8666</v>
      </c>
      <c r="J1762" t="s">
        <v>26</v>
      </c>
      <c r="K1762" t="s">
        <v>27</v>
      </c>
      <c r="L1762" t="b">
        <v>1</v>
      </c>
      <c r="M1762" t="s">
        <v>8667</v>
      </c>
      <c r="N1762" t="str">
        <f>"616"</f>
        <v>616</v>
      </c>
      <c r="P1762" t="b">
        <v>0</v>
      </c>
      <c r="R1762" t="str">
        <f>"9781550091823"</f>
        <v>9781550091823</v>
      </c>
      <c r="S1762" t="str">
        <f>"9781607952480"</f>
        <v>9781607952480</v>
      </c>
      <c r="T1762">
        <v>778804203</v>
      </c>
    </row>
    <row r="1763" spans="1:20" x14ac:dyDescent="0.25">
      <c r="A1763">
        <v>432966</v>
      </c>
      <c r="B1763" t="s">
        <v>8668</v>
      </c>
      <c r="D1763" t="s">
        <v>8274</v>
      </c>
      <c r="E1763" t="s">
        <v>8275</v>
      </c>
      <c r="F1763">
        <v>2008</v>
      </c>
      <c r="G1763" t="s">
        <v>8669</v>
      </c>
      <c r="H1763" t="s">
        <v>8670</v>
      </c>
      <c r="I1763" t="s">
        <v>8671</v>
      </c>
      <c r="J1763" t="s">
        <v>26</v>
      </c>
      <c r="K1763" t="s">
        <v>27</v>
      </c>
      <c r="L1763" t="b">
        <v>1</v>
      </c>
      <c r="M1763" t="s">
        <v>8672</v>
      </c>
      <c r="N1763" t="str">
        <f>"616.99/4059"</f>
        <v>616.99/4059</v>
      </c>
      <c r="P1763" t="b">
        <v>0</v>
      </c>
      <c r="R1763" t="str">
        <f>"9781550091267"</f>
        <v>9781550091267</v>
      </c>
      <c r="S1763" t="str">
        <f>"9781607952473"</f>
        <v>9781607952473</v>
      </c>
      <c r="T1763">
        <v>778860268</v>
      </c>
    </row>
    <row r="1764" spans="1:20" x14ac:dyDescent="0.25">
      <c r="A1764">
        <v>432965</v>
      </c>
      <c r="B1764" t="s">
        <v>8673</v>
      </c>
      <c r="D1764" t="s">
        <v>8274</v>
      </c>
      <c r="E1764" t="s">
        <v>8275</v>
      </c>
      <c r="F1764">
        <v>2007</v>
      </c>
      <c r="G1764" t="s">
        <v>8674</v>
      </c>
      <c r="H1764" t="s">
        <v>8675</v>
      </c>
      <c r="I1764" t="s">
        <v>8676</v>
      </c>
      <c r="J1764" t="s">
        <v>26</v>
      </c>
      <c r="K1764" t="s">
        <v>27</v>
      </c>
      <c r="L1764" t="b">
        <v>1</v>
      </c>
      <c r="M1764" t="s">
        <v>8677</v>
      </c>
      <c r="N1764" t="str">
        <f>"617.5500222"</f>
        <v>617.5500222</v>
      </c>
      <c r="O1764" t="s">
        <v>8673</v>
      </c>
      <c r="P1764" t="b">
        <v>0</v>
      </c>
      <c r="R1764" t="str">
        <f>"9781550092707"</f>
        <v>9781550092707</v>
      </c>
      <c r="S1764" t="str">
        <f>"9781607950561"</f>
        <v>9781607950561</v>
      </c>
      <c r="T1764">
        <v>795523143</v>
      </c>
    </row>
    <row r="1765" spans="1:20" x14ac:dyDescent="0.25">
      <c r="A1765">
        <v>432964</v>
      </c>
      <c r="B1765" t="s">
        <v>8678</v>
      </c>
      <c r="D1765" t="s">
        <v>8274</v>
      </c>
      <c r="E1765" t="s">
        <v>8275</v>
      </c>
      <c r="F1765">
        <v>2008</v>
      </c>
      <c r="G1765" t="s">
        <v>8679</v>
      </c>
      <c r="H1765" t="s">
        <v>8680</v>
      </c>
      <c r="I1765" t="s">
        <v>8681</v>
      </c>
      <c r="J1765" t="s">
        <v>26</v>
      </c>
      <c r="K1765" t="s">
        <v>27</v>
      </c>
      <c r="L1765" t="b">
        <v>1</v>
      </c>
      <c r="M1765" t="s">
        <v>8682</v>
      </c>
      <c r="N1765" t="str">
        <f>"616.24"</f>
        <v>616.24</v>
      </c>
      <c r="P1765" t="b">
        <v>0</v>
      </c>
      <c r="R1765" t="str">
        <f>"9781550093902"</f>
        <v>9781550093902</v>
      </c>
      <c r="S1765" t="str">
        <f>"9781607950615"</f>
        <v>9781607950615</v>
      </c>
      <c r="T1765">
        <v>776599062</v>
      </c>
    </row>
    <row r="1766" spans="1:20" x14ac:dyDescent="0.25">
      <c r="A1766">
        <v>432963</v>
      </c>
      <c r="B1766" t="s">
        <v>8683</v>
      </c>
      <c r="D1766" t="s">
        <v>8274</v>
      </c>
      <c r="E1766" t="s">
        <v>8275</v>
      </c>
      <c r="F1766">
        <v>2007</v>
      </c>
      <c r="G1766" t="s">
        <v>8684</v>
      </c>
      <c r="H1766" t="s">
        <v>8685</v>
      </c>
      <c r="I1766" t="s">
        <v>8686</v>
      </c>
      <c r="J1766" t="s">
        <v>26</v>
      </c>
      <c r="K1766" t="s">
        <v>27</v>
      </c>
      <c r="L1766" t="b">
        <v>1</v>
      </c>
      <c r="M1766" t="s">
        <v>8687</v>
      </c>
      <c r="N1766" t="str">
        <f>"618.920978"</f>
        <v>618.920978</v>
      </c>
      <c r="P1766" t="b">
        <v>0</v>
      </c>
      <c r="R1766" t="str">
        <f>"9781550093353"</f>
        <v>9781550093353</v>
      </c>
      <c r="S1766" t="str">
        <f>"9781607952466"</f>
        <v>9781607952466</v>
      </c>
      <c r="T1766">
        <v>795523508</v>
      </c>
    </row>
    <row r="1767" spans="1:20" x14ac:dyDescent="0.25">
      <c r="A1767">
        <v>432961</v>
      </c>
      <c r="B1767" t="s">
        <v>8688</v>
      </c>
      <c r="C1767" t="s">
        <v>8689</v>
      </c>
      <c r="D1767" t="s">
        <v>8274</v>
      </c>
      <c r="E1767" t="s">
        <v>8275</v>
      </c>
      <c r="F1767">
        <v>2008</v>
      </c>
      <c r="G1767" t="s">
        <v>8690</v>
      </c>
      <c r="H1767" t="s">
        <v>8691</v>
      </c>
      <c r="I1767" t="s">
        <v>8692</v>
      </c>
      <c r="J1767" t="s">
        <v>26</v>
      </c>
      <c r="K1767" t="s">
        <v>27</v>
      </c>
      <c r="L1767" t="b">
        <v>1</v>
      </c>
      <c r="M1767" t="s">
        <v>8693</v>
      </c>
      <c r="N1767" t="str">
        <f>"618.9233"</f>
        <v>618.9233</v>
      </c>
      <c r="P1767" t="b">
        <v>0</v>
      </c>
      <c r="R1767" t="str">
        <f>"9781550093643"</f>
        <v>9781550093643</v>
      </c>
      <c r="T1767">
        <v>761235777</v>
      </c>
    </row>
    <row r="1768" spans="1:20" x14ac:dyDescent="0.25">
      <c r="A1768">
        <v>432960</v>
      </c>
      <c r="B1768" t="s">
        <v>8694</v>
      </c>
      <c r="D1768" t="s">
        <v>8274</v>
      </c>
      <c r="E1768" t="s">
        <v>8275</v>
      </c>
      <c r="F1768">
        <v>2007</v>
      </c>
      <c r="G1768" t="s">
        <v>8695</v>
      </c>
      <c r="H1768" t="s">
        <v>8696</v>
      </c>
      <c r="I1768" t="s">
        <v>8697</v>
      </c>
      <c r="J1768" t="s">
        <v>26</v>
      </c>
      <c r="K1768" t="s">
        <v>27</v>
      </c>
      <c r="L1768" t="b">
        <v>1</v>
      </c>
      <c r="M1768" t="s">
        <v>8698</v>
      </c>
      <c r="N1768" t="str">
        <f>"616.7227"</f>
        <v>616.7227</v>
      </c>
      <c r="O1768" t="s">
        <v>8699</v>
      </c>
      <c r="P1768" t="b">
        <v>0</v>
      </c>
      <c r="R1768" t="str">
        <f>"9781550093414"</f>
        <v>9781550093414</v>
      </c>
      <c r="S1768" t="str">
        <f>"9781607950790"</f>
        <v>9781607950790</v>
      </c>
      <c r="T1768">
        <v>776599040</v>
      </c>
    </row>
    <row r="1769" spans="1:20" x14ac:dyDescent="0.25">
      <c r="A1769">
        <v>432959</v>
      </c>
      <c r="B1769" t="s">
        <v>8700</v>
      </c>
      <c r="D1769" t="s">
        <v>8274</v>
      </c>
      <c r="E1769" t="s">
        <v>8275</v>
      </c>
      <c r="F1769">
        <v>2001</v>
      </c>
      <c r="G1769" t="s">
        <v>8701</v>
      </c>
      <c r="H1769" t="s">
        <v>8702</v>
      </c>
      <c r="I1769" t="s">
        <v>8703</v>
      </c>
      <c r="J1769" t="s">
        <v>26</v>
      </c>
      <c r="K1769" t="s">
        <v>27</v>
      </c>
      <c r="L1769" t="b">
        <v>1</v>
      </c>
      <c r="M1769" t="s">
        <v>8704</v>
      </c>
      <c r="N1769" t="str">
        <f>"572"</f>
        <v>572</v>
      </c>
      <c r="P1769" t="b">
        <v>0</v>
      </c>
      <c r="R1769" t="str">
        <f>"9781550091502"</f>
        <v>9781550091502</v>
      </c>
      <c r="S1769" t="str">
        <f>"9781607952411"</f>
        <v>9781607952411</v>
      </c>
      <c r="T1769">
        <v>778448073</v>
      </c>
    </row>
    <row r="1770" spans="1:20" x14ac:dyDescent="0.25">
      <c r="A1770">
        <v>432958</v>
      </c>
      <c r="B1770" t="s">
        <v>8705</v>
      </c>
      <c r="D1770" t="s">
        <v>8274</v>
      </c>
      <c r="E1770" t="s">
        <v>8275</v>
      </c>
      <c r="F1770">
        <v>2003</v>
      </c>
      <c r="G1770" t="s">
        <v>8706</v>
      </c>
      <c r="H1770" t="s">
        <v>8707</v>
      </c>
      <c r="I1770" t="s">
        <v>8708</v>
      </c>
      <c r="J1770" t="s">
        <v>26</v>
      </c>
      <c r="K1770" t="s">
        <v>27</v>
      </c>
      <c r="L1770" t="b">
        <v>1</v>
      </c>
      <c r="M1770" t="s">
        <v>8709</v>
      </c>
      <c r="N1770" t="str">
        <f>"610/.1/5195"</f>
        <v>610/.1/5195</v>
      </c>
      <c r="O1770" t="s">
        <v>8710</v>
      </c>
      <c r="P1770" t="b">
        <v>0</v>
      </c>
      <c r="R1770" t="str">
        <f>"9781550092073"</f>
        <v>9781550092073</v>
      </c>
      <c r="S1770" t="str">
        <f>"9781607950776"</f>
        <v>9781607950776</v>
      </c>
      <c r="T1770">
        <v>649863748</v>
      </c>
    </row>
    <row r="1771" spans="1:20" x14ac:dyDescent="0.25">
      <c r="A1771">
        <v>432957</v>
      </c>
      <c r="B1771" t="s">
        <v>8711</v>
      </c>
      <c r="D1771" t="s">
        <v>8274</v>
      </c>
      <c r="E1771" t="s">
        <v>8275</v>
      </c>
      <c r="F1771">
        <v>2009</v>
      </c>
      <c r="G1771" t="s">
        <v>2383</v>
      </c>
      <c r="H1771" t="s">
        <v>8712</v>
      </c>
      <c r="I1771" t="s">
        <v>8713</v>
      </c>
      <c r="J1771" t="s">
        <v>26</v>
      </c>
      <c r="K1771" t="s">
        <v>27</v>
      </c>
      <c r="L1771" t="b">
        <v>1</v>
      </c>
      <c r="M1771" t="s">
        <v>8714</v>
      </c>
      <c r="N1771" t="str">
        <f>"617.481"</f>
        <v>617.481</v>
      </c>
      <c r="P1771" t="b">
        <v>0</v>
      </c>
      <c r="R1771" t="str">
        <f>"9781607950011"</f>
        <v>9781607950011</v>
      </c>
      <c r="S1771" t="str">
        <f>"9781607952336"</f>
        <v>9781607952336</v>
      </c>
      <c r="T1771">
        <v>680621308</v>
      </c>
    </row>
    <row r="1772" spans="1:20" x14ac:dyDescent="0.25">
      <c r="A1772">
        <v>432382</v>
      </c>
      <c r="B1772" t="s">
        <v>8715</v>
      </c>
      <c r="D1772" t="s">
        <v>4505</v>
      </c>
      <c r="E1772" t="s">
        <v>4798</v>
      </c>
      <c r="F1772">
        <v>2012</v>
      </c>
      <c r="G1772" t="s">
        <v>7329</v>
      </c>
      <c r="H1772" t="s">
        <v>8716</v>
      </c>
      <c r="I1772" t="s">
        <v>8717</v>
      </c>
      <c r="J1772" t="s">
        <v>26</v>
      </c>
      <c r="K1772" t="s">
        <v>27</v>
      </c>
      <c r="L1772" t="b">
        <v>1</v>
      </c>
      <c r="M1772" t="s">
        <v>8718</v>
      </c>
      <c r="N1772" t="str">
        <f>"341.4/5;341.45"</f>
        <v>341.4/5;341.45</v>
      </c>
      <c r="P1772" t="b">
        <v>0</v>
      </c>
      <c r="R1772" t="str">
        <f>"9789004212572"</f>
        <v>9789004212572</v>
      </c>
      <c r="S1772" t="str">
        <f>"9789004212589"</f>
        <v>9789004212589</v>
      </c>
      <c r="T1772">
        <v>775301924</v>
      </c>
    </row>
    <row r="1773" spans="1:20" x14ac:dyDescent="0.25">
      <c r="A1773">
        <v>432328</v>
      </c>
      <c r="B1773" t="s">
        <v>8719</v>
      </c>
      <c r="C1773" t="s">
        <v>8720</v>
      </c>
      <c r="D1773" t="s">
        <v>203</v>
      </c>
      <c r="E1773" t="s">
        <v>1109</v>
      </c>
      <c r="F1773">
        <v>2012</v>
      </c>
      <c r="G1773" t="s">
        <v>8721</v>
      </c>
      <c r="H1773" t="s">
        <v>8722</v>
      </c>
      <c r="I1773" t="s">
        <v>8723</v>
      </c>
      <c r="J1773" t="s">
        <v>26</v>
      </c>
      <c r="K1773" t="s">
        <v>27</v>
      </c>
      <c r="L1773" t="b">
        <v>1</v>
      </c>
      <c r="M1773" t="s">
        <v>8724</v>
      </c>
      <c r="N1773" t="str">
        <f>"616.85843"</f>
        <v>616.85843</v>
      </c>
      <c r="P1773" t="b">
        <v>0</v>
      </c>
      <c r="R1773" t="str">
        <f>"9781908020376"</f>
        <v>9781908020376</v>
      </c>
      <c r="S1773" t="str">
        <f>"9781908020451"</f>
        <v>9781908020451</v>
      </c>
      <c r="T1773">
        <v>784948003</v>
      </c>
    </row>
    <row r="1774" spans="1:20" x14ac:dyDescent="0.25">
      <c r="A1774">
        <v>432284</v>
      </c>
      <c r="B1774" t="s">
        <v>8725</v>
      </c>
      <c r="D1774" t="s">
        <v>203</v>
      </c>
      <c r="E1774" t="s">
        <v>1109</v>
      </c>
      <c r="F1774">
        <v>2011</v>
      </c>
      <c r="G1774" t="s">
        <v>1110</v>
      </c>
      <c r="H1774" t="s">
        <v>8726</v>
      </c>
      <c r="I1774" t="s">
        <v>8727</v>
      </c>
      <c r="J1774" t="s">
        <v>26</v>
      </c>
      <c r="K1774" t="s">
        <v>86</v>
      </c>
      <c r="L1774" t="b">
        <v>1</v>
      </c>
      <c r="M1774" t="s">
        <v>8728</v>
      </c>
      <c r="N1774" t="str">
        <f>"614.15"</f>
        <v>614.15</v>
      </c>
      <c r="P1774" t="b">
        <v>0</v>
      </c>
      <c r="R1774" t="str">
        <f>"9781908020321"</f>
        <v>9781908020321</v>
      </c>
      <c r="S1774" t="str">
        <f>"9781908020444"</f>
        <v>9781908020444</v>
      </c>
      <c r="T1774">
        <v>785623681</v>
      </c>
    </row>
    <row r="1775" spans="1:20" x14ac:dyDescent="0.25">
      <c r="A1775">
        <v>432268</v>
      </c>
      <c r="B1775" t="s">
        <v>8729</v>
      </c>
      <c r="C1775" t="s">
        <v>8730</v>
      </c>
      <c r="D1775" t="s">
        <v>2238</v>
      </c>
      <c r="E1775" t="s">
        <v>8731</v>
      </c>
      <c r="F1775">
        <v>2011</v>
      </c>
      <c r="G1775" t="s">
        <v>4041</v>
      </c>
      <c r="H1775" t="s">
        <v>8732</v>
      </c>
      <c r="I1775" t="s">
        <v>8733</v>
      </c>
      <c r="J1775" t="s">
        <v>26</v>
      </c>
      <c r="K1775" t="s">
        <v>86</v>
      </c>
      <c r="L1775" t="b">
        <v>1</v>
      </c>
      <c r="M1775" t="s">
        <v>8734</v>
      </c>
      <c r="N1775" t="str">
        <f>"808.066"</f>
        <v>808.066</v>
      </c>
      <c r="P1775" t="b">
        <v>0</v>
      </c>
      <c r="T1775">
        <v>775490716</v>
      </c>
    </row>
    <row r="1776" spans="1:20" x14ac:dyDescent="0.25">
      <c r="A1776">
        <v>430425</v>
      </c>
      <c r="B1776" t="s">
        <v>8735</v>
      </c>
      <c r="C1776" t="s">
        <v>8736</v>
      </c>
      <c r="D1776" t="s">
        <v>8737</v>
      </c>
      <c r="E1776" t="s">
        <v>8738</v>
      </c>
      <c r="F1776">
        <v>1999</v>
      </c>
      <c r="G1776" t="s">
        <v>8739</v>
      </c>
      <c r="H1776" t="s">
        <v>8740</v>
      </c>
      <c r="I1776" t="s">
        <v>8741</v>
      </c>
      <c r="J1776" t="s">
        <v>26</v>
      </c>
      <c r="K1776" t="s">
        <v>27</v>
      </c>
      <c r="L1776" t="b">
        <v>1</v>
      </c>
      <c r="M1776" t="s">
        <v>8742</v>
      </c>
      <c r="N1776" t="str">
        <f>"004/.01/9"</f>
        <v>004/.01/9</v>
      </c>
      <c r="P1776" t="b">
        <v>0</v>
      </c>
      <c r="R1776" t="str">
        <f>"9780910965316"</f>
        <v>9780910965316</v>
      </c>
      <c r="S1776" t="str">
        <f>"9781937290504"</f>
        <v>9781937290504</v>
      </c>
      <c r="T1776">
        <v>776600403</v>
      </c>
    </row>
    <row r="1777" spans="1:20" x14ac:dyDescent="0.25">
      <c r="A1777">
        <v>430017</v>
      </c>
      <c r="B1777" t="s">
        <v>8743</v>
      </c>
      <c r="D1777" t="s">
        <v>1364</v>
      </c>
      <c r="E1777" t="s">
        <v>1364</v>
      </c>
      <c r="F1777">
        <v>2012</v>
      </c>
      <c r="G1777" t="s">
        <v>8744</v>
      </c>
      <c r="H1777" t="s">
        <v>8745</v>
      </c>
      <c r="I1777" t="s">
        <v>8746</v>
      </c>
      <c r="J1777" t="s">
        <v>26</v>
      </c>
      <c r="K1777" t="s">
        <v>27</v>
      </c>
      <c r="L1777" t="b">
        <v>1</v>
      </c>
      <c r="M1777" t="s">
        <v>8747</v>
      </c>
      <c r="N1777" t="str">
        <f>"492"</f>
        <v>492</v>
      </c>
      <c r="P1777" t="b">
        <v>0</v>
      </c>
      <c r="R1777" t="str">
        <f>"9781934078617"</f>
        <v>9781934078617</v>
      </c>
      <c r="S1777" t="str">
        <f>"9781934078631"</f>
        <v>9781934078631</v>
      </c>
      <c r="T1777">
        <v>785776534</v>
      </c>
    </row>
    <row r="1778" spans="1:20" x14ac:dyDescent="0.25">
      <c r="A1778">
        <v>429949</v>
      </c>
      <c r="B1778" t="s">
        <v>8748</v>
      </c>
      <c r="D1778" t="s">
        <v>1526</v>
      </c>
      <c r="E1778" t="s">
        <v>1526</v>
      </c>
      <c r="F1778">
        <v>2005</v>
      </c>
      <c r="G1778" t="s">
        <v>8749</v>
      </c>
      <c r="H1778" t="s">
        <v>8750</v>
      </c>
      <c r="I1778" t="s">
        <v>8751</v>
      </c>
      <c r="J1778" t="s">
        <v>26</v>
      </c>
      <c r="K1778" t="s">
        <v>27</v>
      </c>
      <c r="L1778" t="b">
        <v>1</v>
      </c>
      <c r="M1778" t="s">
        <v>8752</v>
      </c>
      <c r="N1778" t="str">
        <f>"004.693"</f>
        <v>004.693</v>
      </c>
      <c r="O1778" t="s">
        <v>8647</v>
      </c>
      <c r="P1778" t="b">
        <v>0</v>
      </c>
      <c r="R1778" t="str">
        <f>"9781904811381"</f>
        <v>9781904811381</v>
      </c>
      <c r="S1778" t="str">
        <f>"9781847190277"</f>
        <v>9781847190277</v>
      </c>
      <c r="T1778">
        <v>688509307</v>
      </c>
    </row>
    <row r="1779" spans="1:20" x14ac:dyDescent="0.25">
      <c r="A1779">
        <v>422011</v>
      </c>
      <c r="B1779" t="s">
        <v>8753</v>
      </c>
      <c r="C1779" t="s">
        <v>8754</v>
      </c>
      <c r="D1779" t="s">
        <v>1151</v>
      </c>
      <c r="E1779" t="s">
        <v>8755</v>
      </c>
      <c r="F1779">
        <v>2001</v>
      </c>
      <c r="G1779" t="s">
        <v>8756</v>
      </c>
      <c r="H1779" t="s">
        <v>8757</v>
      </c>
      <c r="I1779" t="s">
        <v>8758</v>
      </c>
      <c r="J1779" t="s">
        <v>26</v>
      </c>
      <c r="K1779" t="s">
        <v>27</v>
      </c>
      <c r="L1779" t="b">
        <v>1</v>
      </c>
      <c r="M1779" t="s">
        <v>8759</v>
      </c>
      <c r="N1779" t="str">
        <f>"771.4"</f>
        <v>771.4</v>
      </c>
      <c r="P1779" t="b">
        <v>0</v>
      </c>
      <c r="R1779" t="str">
        <f>"9781584280552"</f>
        <v>9781584280552</v>
      </c>
      <c r="S1779" t="str">
        <f>"9781608954391"</f>
        <v>9781608954391</v>
      </c>
      <c r="T1779">
        <v>769342305</v>
      </c>
    </row>
    <row r="1780" spans="1:20" x14ac:dyDescent="0.25">
      <c r="A1780">
        <v>422010</v>
      </c>
      <c r="B1780" t="s">
        <v>8760</v>
      </c>
      <c r="D1780" t="s">
        <v>1151</v>
      </c>
      <c r="E1780" t="s">
        <v>8755</v>
      </c>
      <c r="F1780">
        <v>2003</v>
      </c>
      <c r="G1780" t="s">
        <v>8761</v>
      </c>
      <c r="H1780" t="s">
        <v>8762</v>
      </c>
      <c r="I1780" t="s">
        <v>8763</v>
      </c>
      <c r="J1780" t="s">
        <v>26</v>
      </c>
      <c r="K1780" t="s">
        <v>27</v>
      </c>
      <c r="L1780" t="b">
        <v>1</v>
      </c>
      <c r="M1780" t="s">
        <v>8764</v>
      </c>
      <c r="N1780" t="str">
        <f>"775"</f>
        <v>775</v>
      </c>
      <c r="P1780" t="b">
        <v>0</v>
      </c>
      <c r="R1780" t="str">
        <f>"9781584281092"</f>
        <v>9781584281092</v>
      </c>
      <c r="S1780" t="str">
        <f>"9781608954339"</f>
        <v>9781608954339</v>
      </c>
      <c r="T1780">
        <v>769342304</v>
      </c>
    </row>
    <row r="1781" spans="1:20" x14ac:dyDescent="0.25">
      <c r="A1781">
        <v>422008</v>
      </c>
      <c r="B1781" t="s">
        <v>8765</v>
      </c>
      <c r="C1781" t="s">
        <v>8766</v>
      </c>
      <c r="D1781" t="s">
        <v>1151</v>
      </c>
      <c r="E1781" t="s">
        <v>8755</v>
      </c>
      <c r="F1781">
        <v>2002</v>
      </c>
      <c r="G1781" t="s">
        <v>8767</v>
      </c>
      <c r="H1781" t="s">
        <v>8768</v>
      </c>
      <c r="I1781" t="s">
        <v>8769</v>
      </c>
      <c r="J1781" t="s">
        <v>26</v>
      </c>
      <c r="K1781" t="s">
        <v>27</v>
      </c>
      <c r="L1781" t="b">
        <v>1</v>
      </c>
      <c r="M1781" t="s">
        <v>8770</v>
      </c>
      <c r="N1781" t="str">
        <f>"778"</f>
        <v>778</v>
      </c>
      <c r="P1781" t="b">
        <v>0</v>
      </c>
      <c r="R1781" t="str">
        <f>"9781584280811"</f>
        <v>9781584280811</v>
      </c>
      <c r="S1781" t="str">
        <f>"9781608953974"</f>
        <v>9781608953974</v>
      </c>
      <c r="T1781">
        <v>769342298</v>
      </c>
    </row>
    <row r="1782" spans="1:20" x14ac:dyDescent="0.25">
      <c r="A1782">
        <v>422007</v>
      </c>
      <c r="B1782" t="s">
        <v>8771</v>
      </c>
      <c r="D1782" t="s">
        <v>1151</v>
      </c>
      <c r="E1782" t="s">
        <v>8755</v>
      </c>
      <c r="F1782">
        <v>2004</v>
      </c>
      <c r="G1782" t="s">
        <v>8761</v>
      </c>
      <c r="H1782" t="s">
        <v>8772</v>
      </c>
      <c r="I1782" t="s">
        <v>8773</v>
      </c>
      <c r="J1782" t="s">
        <v>26</v>
      </c>
      <c r="K1782" t="s">
        <v>27</v>
      </c>
      <c r="L1782" t="b">
        <v>1</v>
      </c>
      <c r="M1782" t="s">
        <v>8774</v>
      </c>
      <c r="N1782" t="str">
        <f>"775"</f>
        <v>775</v>
      </c>
      <c r="P1782" t="b">
        <v>0</v>
      </c>
      <c r="R1782" t="str">
        <f>"9781584281283"</f>
        <v>9781584281283</v>
      </c>
      <c r="S1782" t="str">
        <f>"9781608953950"</f>
        <v>9781608953950</v>
      </c>
      <c r="T1782">
        <v>769342297</v>
      </c>
    </row>
    <row r="1783" spans="1:20" x14ac:dyDescent="0.25">
      <c r="A1783">
        <v>421259</v>
      </c>
      <c r="B1783" t="s">
        <v>8775</v>
      </c>
      <c r="C1783" t="s">
        <v>8776</v>
      </c>
      <c r="D1783" t="s">
        <v>8777</v>
      </c>
      <c r="E1783" t="s">
        <v>8777</v>
      </c>
      <c r="F1783">
        <v>2009</v>
      </c>
      <c r="G1783" t="s">
        <v>8778</v>
      </c>
      <c r="H1783" t="s">
        <v>8779</v>
      </c>
      <c r="I1783" t="s">
        <v>8780</v>
      </c>
      <c r="J1783" t="s">
        <v>26</v>
      </c>
      <c r="K1783" t="s">
        <v>27</v>
      </c>
      <c r="L1783" t="b">
        <v>1</v>
      </c>
      <c r="M1783" t="s">
        <v>8781</v>
      </c>
      <c r="N1783" t="str">
        <f>"616.89/1425"</f>
        <v>616.89/1425</v>
      </c>
      <c r="O1783" t="s">
        <v>8782</v>
      </c>
      <c r="P1783" t="b">
        <v>0</v>
      </c>
      <c r="R1783" t="str">
        <f>"9781572247055"</f>
        <v>9781572247055</v>
      </c>
      <c r="S1783" t="str">
        <f>"9781572247642"</f>
        <v>9781572247642</v>
      </c>
      <c r="T1783">
        <v>774399327</v>
      </c>
    </row>
    <row r="1784" spans="1:20" x14ac:dyDescent="0.25">
      <c r="A1784">
        <v>420557</v>
      </c>
      <c r="B1784" t="s">
        <v>8783</v>
      </c>
      <c r="C1784" t="s">
        <v>8784</v>
      </c>
      <c r="D1784" t="s">
        <v>1364</v>
      </c>
      <c r="E1784" t="s">
        <v>1364</v>
      </c>
      <c r="F1784">
        <v>2012</v>
      </c>
      <c r="G1784" t="s">
        <v>2281</v>
      </c>
      <c r="H1784" t="s">
        <v>8785</v>
      </c>
      <c r="I1784" t="s">
        <v>8786</v>
      </c>
      <c r="J1784" t="s">
        <v>26</v>
      </c>
      <c r="K1784" t="s">
        <v>27</v>
      </c>
      <c r="L1784" t="b">
        <v>1</v>
      </c>
      <c r="M1784" t="s">
        <v>8787</v>
      </c>
      <c r="N1784" t="str">
        <f>"323.01"</f>
        <v>323.01</v>
      </c>
      <c r="P1784" t="b">
        <v>0</v>
      </c>
      <c r="R1784" t="str">
        <f>"9783110263398"</f>
        <v>9783110263398</v>
      </c>
      <c r="S1784" t="str">
        <f>"9783110263886"</f>
        <v>9783110263886</v>
      </c>
      <c r="T1784">
        <v>769343100</v>
      </c>
    </row>
    <row r="1785" spans="1:20" x14ac:dyDescent="0.25">
      <c r="A1785">
        <v>419838</v>
      </c>
      <c r="B1785" t="s">
        <v>8788</v>
      </c>
      <c r="D1785" t="s">
        <v>5060</v>
      </c>
      <c r="E1785" t="s">
        <v>5060</v>
      </c>
      <c r="F1785">
        <v>2012</v>
      </c>
      <c r="G1785" t="s">
        <v>8789</v>
      </c>
      <c r="H1785" t="s">
        <v>8790</v>
      </c>
      <c r="I1785" t="s">
        <v>8791</v>
      </c>
      <c r="J1785" t="s">
        <v>26</v>
      </c>
      <c r="K1785" t="s">
        <v>27</v>
      </c>
      <c r="L1785" t="b">
        <v>1</v>
      </c>
      <c r="M1785" t="s">
        <v>7211</v>
      </c>
      <c r="N1785" t="str">
        <f>"616.858200835"</f>
        <v>616.858200835</v>
      </c>
      <c r="O1785" t="s">
        <v>5064</v>
      </c>
      <c r="P1785" t="b">
        <v>0</v>
      </c>
      <c r="R1785" t="str">
        <f>"9781921507700"</f>
        <v>9781921507700</v>
      </c>
      <c r="S1785" t="str">
        <f>"9781921507717"</f>
        <v>9781921507717</v>
      </c>
      <c r="T1785">
        <v>759857379</v>
      </c>
    </row>
    <row r="1786" spans="1:20" x14ac:dyDescent="0.25">
      <c r="A1786">
        <v>419837</v>
      </c>
      <c r="B1786" t="s">
        <v>8792</v>
      </c>
      <c r="D1786" t="s">
        <v>5060</v>
      </c>
      <c r="E1786" t="s">
        <v>5060</v>
      </c>
      <c r="F1786">
        <v>2012</v>
      </c>
      <c r="G1786" t="s">
        <v>8793</v>
      </c>
      <c r="H1786" t="s">
        <v>8794</v>
      </c>
      <c r="I1786" t="s">
        <v>8795</v>
      </c>
      <c r="J1786" t="s">
        <v>26</v>
      </c>
      <c r="K1786" t="s">
        <v>27</v>
      </c>
      <c r="L1786" t="b">
        <v>1</v>
      </c>
      <c r="M1786" t="s">
        <v>7211</v>
      </c>
      <c r="N1786" t="str">
        <f>"333.79240994"</f>
        <v>333.79240994</v>
      </c>
      <c r="O1786" t="s">
        <v>5064</v>
      </c>
      <c r="P1786" t="b">
        <v>0</v>
      </c>
      <c r="R1786" t="str">
        <f>"9781921507687"</f>
        <v>9781921507687</v>
      </c>
      <c r="S1786" t="str">
        <f>"9781921507694"</f>
        <v>9781921507694</v>
      </c>
      <c r="T1786">
        <v>759857377</v>
      </c>
    </row>
    <row r="1787" spans="1:20" x14ac:dyDescent="0.25">
      <c r="A1787">
        <v>419071</v>
      </c>
      <c r="B1787" t="s">
        <v>8796</v>
      </c>
      <c r="C1787" t="s">
        <v>8797</v>
      </c>
      <c r="D1787" t="s">
        <v>131</v>
      </c>
      <c r="E1787" t="s">
        <v>2566</v>
      </c>
      <c r="F1787">
        <v>2012</v>
      </c>
      <c r="G1787" t="s">
        <v>8798</v>
      </c>
      <c r="H1787" t="s">
        <v>8799</v>
      </c>
      <c r="I1787" t="s">
        <v>8800</v>
      </c>
      <c r="J1787" t="s">
        <v>26</v>
      </c>
      <c r="K1787" t="s">
        <v>86</v>
      </c>
      <c r="L1787" t="b">
        <v>1</v>
      </c>
      <c r="M1787" t="s">
        <v>8801</v>
      </c>
      <c r="N1787" t="str">
        <f>"362.73/2"</f>
        <v>362.73/2</v>
      </c>
      <c r="P1787" t="b">
        <v>0</v>
      </c>
      <c r="R1787" t="str">
        <f>"9780823240227"</f>
        <v>9780823240227</v>
      </c>
      <c r="S1787" t="str">
        <f>"9780823240241"</f>
        <v>9780823240241</v>
      </c>
      <c r="T1787">
        <v>771930715</v>
      </c>
    </row>
    <row r="1788" spans="1:20" x14ac:dyDescent="0.25">
      <c r="A1788">
        <v>414641</v>
      </c>
      <c r="B1788" t="s">
        <v>8802</v>
      </c>
      <c r="C1788" t="s">
        <v>8803</v>
      </c>
      <c r="D1788" t="s">
        <v>1364</v>
      </c>
      <c r="E1788" t="s">
        <v>1364</v>
      </c>
      <c r="F1788">
        <v>2011</v>
      </c>
      <c r="G1788" t="s">
        <v>2007</v>
      </c>
      <c r="H1788" t="s">
        <v>8804</v>
      </c>
      <c r="I1788" t="s">
        <v>8805</v>
      </c>
      <c r="J1788" t="s">
        <v>26</v>
      </c>
      <c r="K1788" t="s">
        <v>27</v>
      </c>
      <c r="L1788" t="b">
        <v>1</v>
      </c>
      <c r="M1788" t="s">
        <v>8806</v>
      </c>
      <c r="N1788" t="str">
        <f>"940.53/18144"</f>
        <v>940.53/18144</v>
      </c>
      <c r="P1788" t="b">
        <v>0</v>
      </c>
      <c r="R1788" t="str">
        <f>"9783110255089"</f>
        <v>9783110255089</v>
      </c>
      <c r="S1788" t="str">
        <f>"9783110255386"</f>
        <v>9783110255386</v>
      </c>
      <c r="T1788">
        <v>763156746</v>
      </c>
    </row>
    <row r="1789" spans="1:20" x14ac:dyDescent="0.25">
      <c r="A1789">
        <v>413935</v>
      </c>
      <c r="B1789" t="s">
        <v>8807</v>
      </c>
      <c r="D1789" t="s">
        <v>1151</v>
      </c>
      <c r="E1789" t="s">
        <v>8755</v>
      </c>
      <c r="F1789">
        <v>1998</v>
      </c>
      <c r="G1789" t="s">
        <v>8767</v>
      </c>
      <c r="H1789" t="s">
        <v>8808</v>
      </c>
      <c r="I1789" t="s">
        <v>8809</v>
      </c>
      <c r="J1789" t="s">
        <v>26</v>
      </c>
      <c r="K1789" t="s">
        <v>27</v>
      </c>
      <c r="L1789" t="b">
        <v>1</v>
      </c>
      <c r="M1789" t="s">
        <v>8810</v>
      </c>
      <c r="N1789" t="str">
        <f>"778.3/4"</f>
        <v>778.3/4</v>
      </c>
      <c r="P1789" t="b">
        <v>0</v>
      </c>
      <c r="R1789" t="str">
        <f>"9780936262505"</f>
        <v>9780936262505</v>
      </c>
      <c r="S1789" t="str">
        <f>"9781608954292"</f>
        <v>9781608954292</v>
      </c>
      <c r="T1789">
        <v>778432178</v>
      </c>
    </row>
    <row r="1790" spans="1:20" x14ac:dyDescent="0.25">
      <c r="A1790">
        <v>413934</v>
      </c>
      <c r="B1790" t="s">
        <v>8811</v>
      </c>
      <c r="D1790" t="s">
        <v>1151</v>
      </c>
      <c r="E1790" t="s">
        <v>8755</v>
      </c>
      <c r="F1790">
        <v>2002</v>
      </c>
      <c r="G1790" t="s">
        <v>8767</v>
      </c>
      <c r="H1790" t="s">
        <v>8812</v>
      </c>
      <c r="I1790" t="s">
        <v>8813</v>
      </c>
      <c r="J1790" t="s">
        <v>26</v>
      </c>
      <c r="K1790" t="s">
        <v>27</v>
      </c>
      <c r="L1790" t="b">
        <v>1</v>
      </c>
      <c r="M1790" t="s">
        <v>8814</v>
      </c>
      <c r="N1790" t="str">
        <f>"778.3/4"</f>
        <v>778.3/4</v>
      </c>
      <c r="P1790" t="b">
        <v>0</v>
      </c>
      <c r="R1790" t="str">
        <f>"9781584280651"</f>
        <v>9781584280651</v>
      </c>
      <c r="S1790" t="str">
        <f>"9781608954278"</f>
        <v>9781608954278</v>
      </c>
      <c r="T1790">
        <v>778432171</v>
      </c>
    </row>
    <row r="1791" spans="1:20" x14ac:dyDescent="0.25">
      <c r="A1791">
        <v>413933</v>
      </c>
      <c r="B1791" t="s">
        <v>8815</v>
      </c>
      <c r="C1791" t="s">
        <v>8816</v>
      </c>
      <c r="D1791" t="s">
        <v>1151</v>
      </c>
      <c r="E1791" t="s">
        <v>8755</v>
      </c>
      <c r="F1791">
        <v>2001</v>
      </c>
      <c r="G1791" t="s">
        <v>8817</v>
      </c>
      <c r="H1791" t="s">
        <v>8818</v>
      </c>
      <c r="I1791" t="s">
        <v>8819</v>
      </c>
      <c r="J1791" t="s">
        <v>26</v>
      </c>
      <c r="K1791" t="s">
        <v>27</v>
      </c>
      <c r="L1791" t="b">
        <v>1</v>
      </c>
      <c r="M1791" t="s">
        <v>8820</v>
      </c>
      <c r="N1791" t="str">
        <f>"070.49"</f>
        <v>070.49</v>
      </c>
      <c r="P1791" t="b">
        <v>0</v>
      </c>
      <c r="R1791" t="str">
        <f>"9781584280507"</f>
        <v>9781584280507</v>
      </c>
      <c r="S1791" t="str">
        <f>"9781608954193"</f>
        <v>9781608954193</v>
      </c>
      <c r="T1791">
        <v>769342299</v>
      </c>
    </row>
    <row r="1792" spans="1:20" x14ac:dyDescent="0.25">
      <c r="A1792">
        <v>413791</v>
      </c>
      <c r="B1792" t="s">
        <v>8821</v>
      </c>
      <c r="C1792" t="s">
        <v>8822</v>
      </c>
      <c r="D1792" t="s">
        <v>2269</v>
      </c>
      <c r="E1792" t="s">
        <v>2269</v>
      </c>
      <c r="F1792">
        <v>2009</v>
      </c>
      <c r="G1792" t="s">
        <v>8823</v>
      </c>
      <c r="H1792" t="s">
        <v>8824</v>
      </c>
      <c r="I1792" t="s">
        <v>8825</v>
      </c>
      <c r="J1792" t="s">
        <v>26</v>
      </c>
      <c r="K1792" t="s">
        <v>27</v>
      </c>
      <c r="L1792" t="b">
        <v>1</v>
      </c>
      <c r="M1792" t="s">
        <v>8826</v>
      </c>
      <c r="N1792" t="str">
        <f>"510.71"</f>
        <v>510.71</v>
      </c>
      <c r="P1792" t="b">
        <v>0</v>
      </c>
      <c r="Q1792" t="b">
        <v>0</v>
      </c>
      <c r="R1792" t="str">
        <f>"9781606929421"</f>
        <v>9781606929421</v>
      </c>
      <c r="S1792" t="str">
        <f>"9781614702207"</f>
        <v>9781614702207</v>
      </c>
      <c r="T1792">
        <v>777549382</v>
      </c>
    </row>
    <row r="1793" spans="1:20" x14ac:dyDescent="0.25">
      <c r="A1793">
        <v>413783</v>
      </c>
      <c r="B1793" t="s">
        <v>8827</v>
      </c>
      <c r="D1793" t="s">
        <v>2269</v>
      </c>
      <c r="E1793" t="s">
        <v>2269</v>
      </c>
      <c r="F1793">
        <v>2009</v>
      </c>
      <c r="G1793" t="s">
        <v>2116</v>
      </c>
      <c r="H1793" t="s">
        <v>8828</v>
      </c>
      <c r="I1793" t="s">
        <v>8829</v>
      </c>
      <c r="J1793" t="s">
        <v>26</v>
      </c>
      <c r="K1793" t="s">
        <v>27</v>
      </c>
      <c r="L1793" t="b">
        <v>1</v>
      </c>
      <c r="M1793" t="s">
        <v>8830</v>
      </c>
      <c r="N1793" t="str">
        <f>"571.9/645"</f>
        <v>571.9/645</v>
      </c>
      <c r="P1793" t="b">
        <v>0</v>
      </c>
      <c r="Q1793" t="b">
        <v>0</v>
      </c>
      <c r="R1793" t="str">
        <f>"9781606923993"</f>
        <v>9781606923993</v>
      </c>
      <c r="S1793" t="str">
        <f>"9781614700692"</f>
        <v>9781614700692</v>
      </c>
      <c r="T1793">
        <v>776164371</v>
      </c>
    </row>
    <row r="1794" spans="1:20" x14ac:dyDescent="0.25">
      <c r="A1794">
        <v>413779</v>
      </c>
      <c r="B1794" t="s">
        <v>8831</v>
      </c>
      <c r="D1794" t="s">
        <v>2269</v>
      </c>
      <c r="E1794" t="s">
        <v>2269</v>
      </c>
      <c r="F1794">
        <v>2009</v>
      </c>
      <c r="G1794" t="s">
        <v>8701</v>
      </c>
      <c r="H1794" t="s">
        <v>8832</v>
      </c>
      <c r="I1794" t="s">
        <v>8833</v>
      </c>
      <c r="J1794" t="s">
        <v>26</v>
      </c>
      <c r="K1794" t="s">
        <v>27</v>
      </c>
      <c r="L1794" t="b">
        <v>1</v>
      </c>
      <c r="M1794" t="s">
        <v>8834</v>
      </c>
      <c r="N1794" t="str">
        <f>"572/.45"</f>
        <v>572/.45</v>
      </c>
      <c r="P1794" t="b">
        <v>0</v>
      </c>
      <c r="Q1794" t="b">
        <v>0</v>
      </c>
      <c r="R1794" t="str">
        <f>"9781608760534"</f>
        <v>9781608760534</v>
      </c>
      <c r="S1794" t="str">
        <f>"9781614700630"</f>
        <v>9781614700630</v>
      </c>
      <c r="T1794">
        <v>776162008</v>
      </c>
    </row>
    <row r="1795" spans="1:20" x14ac:dyDescent="0.25">
      <c r="A1795">
        <v>413774</v>
      </c>
      <c r="B1795" t="s">
        <v>8835</v>
      </c>
      <c r="C1795" t="s">
        <v>8836</v>
      </c>
      <c r="D1795" t="s">
        <v>2269</v>
      </c>
      <c r="E1795" t="s">
        <v>2269</v>
      </c>
      <c r="F1795">
        <v>2009</v>
      </c>
      <c r="G1795" t="s">
        <v>3726</v>
      </c>
      <c r="H1795" t="s">
        <v>8837</v>
      </c>
      <c r="I1795" t="s">
        <v>8838</v>
      </c>
      <c r="J1795" t="s">
        <v>26</v>
      </c>
      <c r="K1795" t="s">
        <v>27</v>
      </c>
      <c r="L1795" t="b">
        <v>1</v>
      </c>
      <c r="M1795" t="s">
        <v>8839</v>
      </c>
      <c r="N1795" t="str">
        <f>"549/.68"</f>
        <v>549/.68</v>
      </c>
      <c r="O1795" t="s">
        <v>7355</v>
      </c>
      <c r="P1795" t="b">
        <v>0</v>
      </c>
      <c r="Q1795" t="b">
        <v>0</v>
      </c>
      <c r="R1795" t="str">
        <f>"9781607410461"</f>
        <v>9781607410461</v>
      </c>
      <c r="S1795" t="str">
        <f>"9781613249734"</f>
        <v>9781613249734</v>
      </c>
      <c r="T1795">
        <v>776163972</v>
      </c>
    </row>
    <row r="1796" spans="1:20" x14ac:dyDescent="0.25">
      <c r="A1796">
        <v>413769</v>
      </c>
      <c r="B1796" t="s">
        <v>8840</v>
      </c>
      <c r="D1796" t="s">
        <v>2269</v>
      </c>
      <c r="E1796" t="s">
        <v>2269</v>
      </c>
      <c r="F1796">
        <v>2009</v>
      </c>
      <c r="G1796" t="s">
        <v>8793</v>
      </c>
      <c r="H1796" t="s">
        <v>8841</v>
      </c>
      <c r="I1796" t="s">
        <v>8842</v>
      </c>
      <c r="J1796" t="s">
        <v>26</v>
      </c>
      <c r="K1796" t="s">
        <v>27</v>
      </c>
      <c r="L1796" t="b">
        <v>1</v>
      </c>
      <c r="M1796" t="s">
        <v>8843</v>
      </c>
      <c r="N1796" t="str">
        <f>"333.792/4153"</f>
        <v>333.792/4153</v>
      </c>
      <c r="O1796" t="s">
        <v>7360</v>
      </c>
      <c r="P1796" t="b">
        <v>0</v>
      </c>
      <c r="Q1796" t="b">
        <v>0</v>
      </c>
      <c r="R1796" t="str">
        <f>"9781604569735"</f>
        <v>9781604569735</v>
      </c>
      <c r="S1796" t="str">
        <f>"9781613249567"</f>
        <v>9781613249567</v>
      </c>
      <c r="T1796">
        <v>776163457</v>
      </c>
    </row>
    <row r="1797" spans="1:20" x14ac:dyDescent="0.25">
      <c r="A1797">
        <v>413637</v>
      </c>
      <c r="B1797" t="s">
        <v>8844</v>
      </c>
      <c r="C1797" t="s">
        <v>8845</v>
      </c>
      <c r="D1797" t="s">
        <v>8846</v>
      </c>
      <c r="E1797" t="s">
        <v>8847</v>
      </c>
      <c r="F1797">
        <v>2007</v>
      </c>
      <c r="G1797" t="s">
        <v>1591</v>
      </c>
      <c r="H1797" t="s">
        <v>8848</v>
      </c>
      <c r="I1797" t="s">
        <v>8849</v>
      </c>
      <c r="J1797" t="s">
        <v>26</v>
      </c>
      <c r="K1797" t="s">
        <v>27</v>
      </c>
      <c r="L1797" t="b">
        <v>1</v>
      </c>
      <c r="M1797" t="s">
        <v>8850</v>
      </c>
      <c r="N1797" t="str">
        <f>"305.8/009756;305.8009756"</f>
        <v>305.8/009756;305.8009756</v>
      </c>
      <c r="P1797" t="b">
        <v>0</v>
      </c>
      <c r="R1797" t="str">
        <f>"9780807858691"</f>
        <v>9780807858691</v>
      </c>
      <c r="S1797" t="str">
        <f>"9780807899779"</f>
        <v>9780807899779</v>
      </c>
      <c r="T1797">
        <v>769189682</v>
      </c>
    </row>
    <row r="1798" spans="1:20" x14ac:dyDescent="0.25">
      <c r="A1798">
        <v>412525</v>
      </c>
      <c r="B1798" t="s">
        <v>8851</v>
      </c>
      <c r="C1798" t="s">
        <v>8852</v>
      </c>
      <c r="D1798" t="s">
        <v>226</v>
      </c>
      <c r="E1798" t="s">
        <v>226</v>
      </c>
      <c r="F1798">
        <v>2011</v>
      </c>
      <c r="G1798" t="s">
        <v>57</v>
      </c>
      <c r="H1798" t="s">
        <v>8853</v>
      </c>
      <c r="I1798" t="s">
        <v>8854</v>
      </c>
      <c r="J1798" t="s">
        <v>26</v>
      </c>
      <c r="K1798" t="s">
        <v>27</v>
      </c>
      <c r="L1798" t="b">
        <v>1</v>
      </c>
      <c r="M1798" t="s">
        <v>8855</v>
      </c>
      <c r="N1798" t="str">
        <f>"973.0496073;973/.0496073"</f>
        <v>973.0496073;973/.0496073</v>
      </c>
      <c r="P1798" t="b">
        <v>0</v>
      </c>
      <c r="Q1798" t="b">
        <v>0</v>
      </c>
      <c r="R1798" t="str">
        <f>"9780226550367"</f>
        <v>9780226550367</v>
      </c>
      <c r="S1798" t="str">
        <f>"9780226550374"</f>
        <v>9780226550374</v>
      </c>
      <c r="T1798">
        <v>772845773</v>
      </c>
    </row>
    <row r="1799" spans="1:20" x14ac:dyDescent="0.25">
      <c r="A1799">
        <v>412509</v>
      </c>
      <c r="B1799" t="s">
        <v>8856</v>
      </c>
      <c r="C1799" t="s">
        <v>8857</v>
      </c>
      <c r="D1799" t="s">
        <v>226</v>
      </c>
      <c r="E1799" t="s">
        <v>226</v>
      </c>
      <c r="F1799">
        <v>2011</v>
      </c>
      <c r="G1799" t="s">
        <v>197</v>
      </c>
      <c r="H1799" t="s">
        <v>8858</v>
      </c>
      <c r="J1799" t="s">
        <v>26</v>
      </c>
      <c r="K1799" t="s">
        <v>27</v>
      </c>
      <c r="L1799" t="b">
        <v>1</v>
      </c>
      <c r="M1799" t="s">
        <v>8859</v>
      </c>
      <c r="N1799" t="str">
        <f>"841.8;841/.8"</f>
        <v>841.8;841/.8</v>
      </c>
      <c r="P1799" t="b">
        <v>0</v>
      </c>
      <c r="Q1799" t="b">
        <v>0</v>
      </c>
      <c r="R1799" t="str">
        <f>"9780226519883"</f>
        <v>9780226519883</v>
      </c>
      <c r="S1799" t="str">
        <f>"9780226519876"</f>
        <v>9780226519876</v>
      </c>
      <c r="T1799">
        <v>772845741</v>
      </c>
    </row>
    <row r="1800" spans="1:20" x14ac:dyDescent="0.25">
      <c r="A1800">
        <v>412479</v>
      </c>
      <c r="B1800" t="s">
        <v>8860</v>
      </c>
      <c r="C1800" t="s">
        <v>8861</v>
      </c>
      <c r="D1800" t="s">
        <v>6667</v>
      </c>
      <c r="E1800" t="s">
        <v>6668</v>
      </c>
      <c r="F1800">
        <v>1998</v>
      </c>
      <c r="G1800" t="s">
        <v>7255</v>
      </c>
      <c r="H1800" t="s">
        <v>8862</v>
      </c>
      <c r="I1800" t="s">
        <v>8863</v>
      </c>
      <c r="J1800" t="s">
        <v>26</v>
      </c>
      <c r="K1800" t="s">
        <v>27</v>
      </c>
      <c r="L1800" t="b">
        <v>1</v>
      </c>
      <c r="M1800" t="s">
        <v>8864</v>
      </c>
      <c r="N1800" t="str">
        <f>"551.6072"</f>
        <v>551.6072</v>
      </c>
      <c r="P1800" t="b">
        <v>0</v>
      </c>
      <c r="Q1800" t="b">
        <v>0</v>
      </c>
      <c r="R1800" t="str">
        <f>"9781897675397"</f>
        <v>9781897675397</v>
      </c>
      <c r="S1800" t="str">
        <f>"9780857474124"</f>
        <v>9780857474124</v>
      </c>
      <c r="T1800">
        <v>769139842</v>
      </c>
    </row>
    <row r="1801" spans="1:20" x14ac:dyDescent="0.25">
      <c r="A1801">
        <v>412127</v>
      </c>
      <c r="B1801" t="s">
        <v>8865</v>
      </c>
      <c r="C1801" t="s">
        <v>8866</v>
      </c>
      <c r="D1801" t="s">
        <v>131</v>
      </c>
      <c r="E1801" t="s">
        <v>2389</v>
      </c>
      <c r="F1801">
        <v>2011</v>
      </c>
      <c r="G1801" t="s">
        <v>8867</v>
      </c>
      <c r="H1801" t="s">
        <v>8868</v>
      </c>
      <c r="I1801" t="s">
        <v>8869</v>
      </c>
      <c r="J1801" t="s">
        <v>26</v>
      </c>
      <c r="K1801" t="s">
        <v>86</v>
      </c>
      <c r="L1801" t="b">
        <v>1</v>
      </c>
      <c r="M1801" t="s">
        <v>8870</v>
      </c>
      <c r="N1801" t="str">
        <f>"940.53/439"</f>
        <v>940.53/439</v>
      </c>
      <c r="O1801" t="s">
        <v>8871</v>
      </c>
      <c r="P1801" t="b">
        <v>0</v>
      </c>
      <c r="R1801" t="str">
        <f>"9780823233434"</f>
        <v>9780823233434</v>
      </c>
      <c r="S1801" t="str">
        <f>"9780823237739"</f>
        <v>9780823237739</v>
      </c>
      <c r="T1801">
        <v>774393419</v>
      </c>
    </row>
    <row r="1802" spans="1:20" x14ac:dyDescent="0.25">
      <c r="A1802">
        <v>411914</v>
      </c>
      <c r="B1802" t="s">
        <v>8872</v>
      </c>
      <c r="C1802" t="s">
        <v>8873</v>
      </c>
      <c r="D1802" t="s">
        <v>4505</v>
      </c>
      <c r="E1802" t="s">
        <v>4798</v>
      </c>
      <c r="F1802">
        <v>2011</v>
      </c>
      <c r="G1802" t="s">
        <v>7329</v>
      </c>
      <c r="H1802" t="s">
        <v>2367</v>
      </c>
      <c r="I1802" t="s">
        <v>8874</v>
      </c>
      <c r="J1802" t="s">
        <v>503</v>
      </c>
      <c r="K1802" t="s">
        <v>27</v>
      </c>
      <c r="L1802" t="b">
        <v>1</v>
      </c>
      <c r="N1802" t="str">
        <f>"341.242/2"</f>
        <v>341.242/2</v>
      </c>
      <c r="O1802" t="s">
        <v>8872</v>
      </c>
      <c r="P1802" t="b">
        <v>0</v>
      </c>
      <c r="R1802" t="str">
        <f>"9789004206793"</f>
        <v>9789004206793</v>
      </c>
      <c r="S1802" t="str">
        <f>"9789004226951"</f>
        <v>9789004226951</v>
      </c>
      <c r="T1802">
        <v>781714190</v>
      </c>
    </row>
    <row r="1803" spans="1:20" x14ac:dyDescent="0.25">
      <c r="A1803">
        <v>410987</v>
      </c>
      <c r="B1803" t="s">
        <v>8875</v>
      </c>
      <c r="D1803" t="s">
        <v>5242</v>
      </c>
      <c r="E1803" t="s">
        <v>5834</v>
      </c>
      <c r="F1803">
        <v>2011</v>
      </c>
      <c r="G1803" t="s">
        <v>2203</v>
      </c>
      <c r="H1803" t="s">
        <v>8876</v>
      </c>
      <c r="J1803" t="s">
        <v>26</v>
      </c>
      <c r="K1803" t="s">
        <v>86</v>
      </c>
      <c r="L1803" t="b">
        <v>1</v>
      </c>
      <c r="M1803" t="s">
        <v>8877</v>
      </c>
      <c r="N1803" t="str">
        <f>"823.92"</f>
        <v>823.92</v>
      </c>
      <c r="P1803" t="b">
        <v>1</v>
      </c>
      <c r="R1803" t="str">
        <f>"9781920397036"</f>
        <v>9781920397036</v>
      </c>
      <c r="S1803" t="str">
        <f>"9781920397944"</f>
        <v>9781920397944</v>
      </c>
      <c r="T1803">
        <v>777401451</v>
      </c>
    </row>
    <row r="1804" spans="1:20" x14ac:dyDescent="0.25">
      <c r="A1804">
        <v>410893</v>
      </c>
      <c r="B1804" t="s">
        <v>8878</v>
      </c>
      <c r="D1804" t="s">
        <v>5242</v>
      </c>
      <c r="E1804" t="s">
        <v>5243</v>
      </c>
      <c r="F1804">
        <v>2011</v>
      </c>
      <c r="G1804" t="s">
        <v>4462</v>
      </c>
      <c r="H1804" t="s">
        <v>8879</v>
      </c>
      <c r="I1804" t="s">
        <v>8880</v>
      </c>
      <c r="J1804" t="s">
        <v>26</v>
      </c>
      <c r="K1804" t="s">
        <v>86</v>
      </c>
      <c r="L1804" t="b">
        <v>1</v>
      </c>
      <c r="M1804" t="s">
        <v>5245</v>
      </c>
      <c r="N1804" t="str">
        <f>"896"</f>
        <v>896</v>
      </c>
      <c r="P1804" t="b">
        <v>0</v>
      </c>
      <c r="R1804" t="str">
        <f>"9789956579792"</f>
        <v>9789956579792</v>
      </c>
      <c r="S1804" t="str">
        <f>"9789956579815"</f>
        <v>9789956579815</v>
      </c>
      <c r="T1804">
        <v>779381939</v>
      </c>
    </row>
    <row r="1805" spans="1:20" x14ac:dyDescent="0.25">
      <c r="A1805">
        <v>410225</v>
      </c>
      <c r="B1805" t="s">
        <v>8881</v>
      </c>
      <c r="D1805" t="s">
        <v>2269</v>
      </c>
      <c r="E1805" t="s">
        <v>2269</v>
      </c>
      <c r="F1805">
        <v>2009</v>
      </c>
      <c r="G1805" t="s">
        <v>8882</v>
      </c>
      <c r="H1805" t="s">
        <v>8883</v>
      </c>
      <c r="I1805" t="s">
        <v>8884</v>
      </c>
      <c r="J1805" t="s">
        <v>26</v>
      </c>
      <c r="K1805" t="s">
        <v>27</v>
      </c>
      <c r="L1805" t="b">
        <v>1</v>
      </c>
      <c r="M1805" t="s">
        <v>8885</v>
      </c>
      <c r="N1805" t="str">
        <f>"363.8/64"</f>
        <v>363.8/64</v>
      </c>
      <c r="P1805" t="b">
        <v>0</v>
      </c>
      <c r="Q1805" t="b">
        <v>0</v>
      </c>
      <c r="R1805" t="str">
        <f>"9781606929407"</f>
        <v>9781606929407</v>
      </c>
      <c r="S1805" t="str">
        <f>"9781614702405"</f>
        <v>9781614702405</v>
      </c>
      <c r="T1805">
        <v>776163465</v>
      </c>
    </row>
    <row r="1806" spans="1:20" x14ac:dyDescent="0.25">
      <c r="A1806">
        <v>410219</v>
      </c>
      <c r="B1806" t="s">
        <v>8886</v>
      </c>
      <c r="D1806" t="s">
        <v>2269</v>
      </c>
      <c r="E1806" t="s">
        <v>2269</v>
      </c>
      <c r="F1806">
        <v>2009</v>
      </c>
      <c r="G1806" t="s">
        <v>8887</v>
      </c>
      <c r="H1806" t="s">
        <v>8888</v>
      </c>
      <c r="I1806" t="s">
        <v>8889</v>
      </c>
      <c r="J1806" t="s">
        <v>26</v>
      </c>
      <c r="K1806" t="s">
        <v>27</v>
      </c>
      <c r="L1806" t="b">
        <v>1</v>
      </c>
      <c r="M1806" t="s">
        <v>8890</v>
      </c>
      <c r="N1806" t="str">
        <f>"530.15/072"</f>
        <v>530.15/072</v>
      </c>
      <c r="P1806" t="b">
        <v>0</v>
      </c>
      <c r="Q1806" t="b">
        <v>0</v>
      </c>
      <c r="R1806" t="str">
        <f>"9781594548079"</f>
        <v>9781594548079</v>
      </c>
      <c r="S1806" t="str">
        <f>"9781614703747"</f>
        <v>9781614703747</v>
      </c>
      <c r="T1806">
        <v>776164351</v>
      </c>
    </row>
    <row r="1807" spans="1:20" x14ac:dyDescent="0.25">
      <c r="A1807">
        <v>410215</v>
      </c>
      <c r="B1807" t="s">
        <v>8891</v>
      </c>
      <c r="D1807" t="s">
        <v>2269</v>
      </c>
      <c r="E1807" t="s">
        <v>2269</v>
      </c>
      <c r="F1807">
        <v>2008</v>
      </c>
      <c r="G1807" t="s">
        <v>8789</v>
      </c>
      <c r="H1807" t="s">
        <v>8892</v>
      </c>
      <c r="I1807" t="s">
        <v>8893</v>
      </c>
      <c r="J1807" t="s">
        <v>26</v>
      </c>
      <c r="K1807" t="s">
        <v>27</v>
      </c>
      <c r="L1807" t="b">
        <v>1</v>
      </c>
      <c r="M1807" t="s">
        <v>8894</v>
      </c>
      <c r="N1807" t="str">
        <f>"616.85/81"</f>
        <v>616.85/81</v>
      </c>
      <c r="P1807" t="b">
        <v>0</v>
      </c>
      <c r="Q1807" t="b">
        <v>0</v>
      </c>
      <c r="R1807" t="str">
        <f>"9781604567267"</f>
        <v>9781604567267</v>
      </c>
      <c r="S1807" t="str">
        <f>"9781614703709"</f>
        <v>9781614703709</v>
      </c>
      <c r="T1807">
        <v>776163985</v>
      </c>
    </row>
    <row r="1808" spans="1:20" x14ac:dyDescent="0.25">
      <c r="A1808">
        <v>410208</v>
      </c>
      <c r="B1808" t="s">
        <v>8895</v>
      </c>
      <c r="C1808" t="s">
        <v>8896</v>
      </c>
      <c r="D1808" t="s">
        <v>2269</v>
      </c>
      <c r="E1808" t="s">
        <v>2269</v>
      </c>
      <c r="F1808">
        <v>2009</v>
      </c>
      <c r="G1808" t="s">
        <v>8897</v>
      </c>
      <c r="H1808" t="s">
        <v>8898</v>
      </c>
      <c r="I1808" t="s">
        <v>8899</v>
      </c>
      <c r="J1808" t="s">
        <v>26</v>
      </c>
      <c r="K1808" t="s">
        <v>27</v>
      </c>
      <c r="L1808" t="b">
        <v>1</v>
      </c>
      <c r="M1808" t="s">
        <v>8900</v>
      </c>
      <c r="N1808" t="str">
        <f>"621.3815/2"</f>
        <v>621.3815/2</v>
      </c>
      <c r="P1808" t="b">
        <v>0</v>
      </c>
      <c r="Q1808" t="b">
        <v>0</v>
      </c>
      <c r="R1808" t="str">
        <f>"9781606923252"</f>
        <v>9781606923252</v>
      </c>
      <c r="S1808" t="str">
        <f>"9781614703143"</f>
        <v>9781614703143</v>
      </c>
      <c r="T1808">
        <v>777548953</v>
      </c>
    </row>
    <row r="1809" spans="1:20" x14ac:dyDescent="0.25">
      <c r="A1809">
        <v>410206</v>
      </c>
      <c r="B1809" t="s">
        <v>8901</v>
      </c>
      <c r="C1809" t="s">
        <v>8902</v>
      </c>
      <c r="D1809" t="s">
        <v>2269</v>
      </c>
      <c r="E1809" t="s">
        <v>2269</v>
      </c>
      <c r="F1809">
        <v>2009</v>
      </c>
      <c r="G1809" t="s">
        <v>8903</v>
      </c>
      <c r="H1809" t="s">
        <v>8904</v>
      </c>
      <c r="I1809" t="s">
        <v>8905</v>
      </c>
      <c r="J1809" t="s">
        <v>26</v>
      </c>
      <c r="K1809" t="s">
        <v>27</v>
      </c>
      <c r="L1809" t="b">
        <v>1</v>
      </c>
      <c r="M1809" t="s">
        <v>8906</v>
      </c>
      <c r="N1809" t="str">
        <f>"621.384/156"</f>
        <v>621.384/156</v>
      </c>
      <c r="O1809" t="s">
        <v>8907</v>
      </c>
      <c r="P1809" t="b">
        <v>0</v>
      </c>
      <c r="Q1809" t="b">
        <v>0</v>
      </c>
      <c r="R1809" t="str">
        <f>"9781607412380"</f>
        <v>9781607412380</v>
      </c>
      <c r="S1809" t="str">
        <f>"9781614703129"</f>
        <v>9781614703129</v>
      </c>
      <c r="T1809">
        <v>776662908</v>
      </c>
    </row>
    <row r="1810" spans="1:20" x14ac:dyDescent="0.25">
      <c r="A1810">
        <v>410202</v>
      </c>
      <c r="B1810" t="s">
        <v>8908</v>
      </c>
      <c r="D1810" t="s">
        <v>2269</v>
      </c>
      <c r="E1810" t="s">
        <v>2269</v>
      </c>
      <c r="F1810">
        <v>2009</v>
      </c>
      <c r="G1810" t="s">
        <v>8909</v>
      </c>
      <c r="H1810" t="s">
        <v>8910</v>
      </c>
      <c r="I1810" t="s">
        <v>8911</v>
      </c>
      <c r="J1810" t="s">
        <v>26</v>
      </c>
      <c r="K1810" t="s">
        <v>27</v>
      </c>
      <c r="L1810" t="b">
        <v>1</v>
      </c>
      <c r="M1810" t="s">
        <v>8912</v>
      </c>
      <c r="N1810" t="str">
        <f>"537.6/23"</f>
        <v>537.6/23</v>
      </c>
      <c r="P1810" t="b">
        <v>0</v>
      </c>
      <c r="Q1810" t="b">
        <v>0</v>
      </c>
      <c r="R1810" t="str">
        <f>"9781604565669"</f>
        <v>9781604565669</v>
      </c>
      <c r="S1810" t="str">
        <f>"9781614703068"</f>
        <v>9781614703068</v>
      </c>
      <c r="T1810">
        <v>776164653</v>
      </c>
    </row>
    <row r="1811" spans="1:20" x14ac:dyDescent="0.25">
      <c r="A1811">
        <v>410199</v>
      </c>
      <c r="B1811" t="s">
        <v>8913</v>
      </c>
      <c r="C1811" t="s">
        <v>8914</v>
      </c>
      <c r="D1811" t="s">
        <v>2269</v>
      </c>
      <c r="E1811" t="s">
        <v>2269</v>
      </c>
      <c r="F1811">
        <v>2009</v>
      </c>
      <c r="G1811" t="s">
        <v>8915</v>
      </c>
      <c r="H1811" t="s">
        <v>8916</v>
      </c>
      <c r="I1811" t="s">
        <v>8917</v>
      </c>
      <c r="J1811" t="s">
        <v>26</v>
      </c>
      <c r="K1811" t="s">
        <v>27</v>
      </c>
      <c r="L1811" t="b">
        <v>1</v>
      </c>
      <c r="M1811" t="s">
        <v>8918</v>
      </c>
      <c r="N1811" t="str">
        <f>"362.29/3"</f>
        <v>362.29/3</v>
      </c>
      <c r="O1811" t="s">
        <v>8919</v>
      </c>
      <c r="P1811" t="b">
        <v>0</v>
      </c>
      <c r="Q1811" t="b">
        <v>0</v>
      </c>
      <c r="R1811" t="str">
        <f>"9781608760664"</f>
        <v>9781608760664</v>
      </c>
      <c r="S1811" t="str">
        <f>"9781614702429"</f>
        <v>9781614702429</v>
      </c>
      <c r="T1811">
        <v>776663179</v>
      </c>
    </row>
    <row r="1812" spans="1:20" x14ac:dyDescent="0.25">
      <c r="A1812">
        <v>409769</v>
      </c>
      <c r="B1812" t="s">
        <v>8920</v>
      </c>
      <c r="C1812" t="s">
        <v>8921</v>
      </c>
      <c r="D1812" t="s">
        <v>6667</v>
      </c>
      <c r="E1812" t="s">
        <v>6668</v>
      </c>
      <c r="F1812">
        <v>2011</v>
      </c>
      <c r="G1812" t="s">
        <v>1026</v>
      </c>
      <c r="H1812" t="s">
        <v>8922</v>
      </c>
      <c r="I1812" t="s">
        <v>8923</v>
      </c>
      <c r="J1812" t="s">
        <v>26</v>
      </c>
      <c r="K1812" t="s">
        <v>86</v>
      </c>
      <c r="L1812" t="b">
        <v>1</v>
      </c>
      <c r="M1812" t="s">
        <v>8924</v>
      </c>
      <c r="N1812" t="str">
        <f>"823.8"</f>
        <v>823.8</v>
      </c>
      <c r="P1812" t="b">
        <v>0</v>
      </c>
      <c r="Q1812" t="b">
        <v>0</v>
      </c>
      <c r="R1812" t="str">
        <f>"9781904312550"</f>
        <v>9781904312550</v>
      </c>
      <c r="S1812" t="str">
        <f>"9781780921990"</f>
        <v>9781780921990</v>
      </c>
      <c r="T1812">
        <v>763157327</v>
      </c>
    </row>
    <row r="1813" spans="1:20" x14ac:dyDescent="0.25">
      <c r="A1813">
        <v>409630</v>
      </c>
      <c r="B1813" t="s">
        <v>8925</v>
      </c>
      <c r="C1813" t="s">
        <v>8926</v>
      </c>
      <c r="D1813" t="s">
        <v>131</v>
      </c>
      <c r="E1813" t="s">
        <v>1885</v>
      </c>
      <c r="F1813">
        <v>2012</v>
      </c>
      <c r="G1813" t="s">
        <v>8927</v>
      </c>
      <c r="H1813" t="s">
        <v>8928</v>
      </c>
      <c r="I1813" t="s">
        <v>8929</v>
      </c>
      <c r="J1813" t="s">
        <v>26</v>
      </c>
      <c r="K1813" t="s">
        <v>86</v>
      </c>
      <c r="L1813" t="b">
        <v>1</v>
      </c>
      <c r="M1813" t="s">
        <v>8930</v>
      </c>
      <c r="N1813" t="str">
        <f>"973/.0496073"</f>
        <v>973/.0496073</v>
      </c>
      <c r="P1813" t="b">
        <v>0</v>
      </c>
      <c r="Q1813" t="b">
        <v>0</v>
      </c>
      <c r="R1813" t="str">
        <f>"9781578593231"</f>
        <v>9781578593231</v>
      </c>
      <c r="S1813" t="str">
        <f>"9781578593828"</f>
        <v>9781578593828</v>
      </c>
      <c r="T1813">
        <v>769342016</v>
      </c>
    </row>
    <row r="1814" spans="1:20" x14ac:dyDescent="0.25">
      <c r="A1814">
        <v>408789</v>
      </c>
      <c r="B1814" t="s">
        <v>8931</v>
      </c>
      <c r="D1814" t="s">
        <v>4147</v>
      </c>
      <c r="E1814" t="s">
        <v>4147</v>
      </c>
      <c r="F1814">
        <v>2012</v>
      </c>
      <c r="G1814" t="s">
        <v>4822</v>
      </c>
      <c r="H1814" t="s">
        <v>8932</v>
      </c>
      <c r="I1814" t="s">
        <v>8933</v>
      </c>
      <c r="J1814" t="s">
        <v>26</v>
      </c>
      <c r="K1814" t="s">
        <v>27</v>
      </c>
      <c r="L1814" t="b">
        <v>1</v>
      </c>
      <c r="M1814" t="s">
        <v>8934</v>
      </c>
      <c r="N1814" t="str">
        <f>"610.73"</f>
        <v>610.73</v>
      </c>
      <c r="P1814" t="b">
        <v>0</v>
      </c>
      <c r="R1814" t="str">
        <f>"9781935476597"</f>
        <v>9781935476597</v>
      </c>
      <c r="S1814" t="str">
        <f>"9781935476610"</f>
        <v>9781935476610</v>
      </c>
      <c r="T1814">
        <v>769188522</v>
      </c>
    </row>
    <row r="1815" spans="1:20" x14ac:dyDescent="0.25">
      <c r="A1815">
        <v>408297</v>
      </c>
      <c r="B1815" t="s">
        <v>8935</v>
      </c>
      <c r="C1815" t="s">
        <v>8936</v>
      </c>
      <c r="D1815" t="s">
        <v>8777</v>
      </c>
      <c r="E1815" t="s">
        <v>8777</v>
      </c>
      <c r="F1815">
        <v>2009</v>
      </c>
      <c r="G1815" t="s">
        <v>8937</v>
      </c>
      <c r="H1815" t="s">
        <v>8938</v>
      </c>
      <c r="I1815" t="s">
        <v>8939</v>
      </c>
      <c r="J1815" t="s">
        <v>26</v>
      </c>
      <c r="K1815" t="s">
        <v>27</v>
      </c>
      <c r="L1815" t="b">
        <v>1</v>
      </c>
      <c r="M1815" t="s">
        <v>8940</v>
      </c>
      <c r="N1815" t="str">
        <f>"302.2"</f>
        <v>302.2</v>
      </c>
      <c r="P1815" t="b">
        <v>0</v>
      </c>
      <c r="R1815" t="str">
        <f>"9781572245921"</f>
        <v>9781572245921</v>
      </c>
      <c r="S1815" t="str">
        <f>"9781572248533"</f>
        <v>9781572248533</v>
      </c>
      <c r="T1815">
        <v>776590482</v>
      </c>
    </row>
    <row r="1816" spans="1:20" x14ac:dyDescent="0.25">
      <c r="A1816">
        <v>408278</v>
      </c>
      <c r="B1816" t="s">
        <v>8941</v>
      </c>
      <c r="D1816" t="s">
        <v>8274</v>
      </c>
      <c r="E1816" t="s">
        <v>8275</v>
      </c>
      <c r="F1816">
        <v>2002</v>
      </c>
      <c r="G1816" t="s">
        <v>4275</v>
      </c>
      <c r="H1816" t="s">
        <v>8942</v>
      </c>
      <c r="I1816" t="s">
        <v>8943</v>
      </c>
      <c r="J1816" t="s">
        <v>26</v>
      </c>
      <c r="K1816" t="s">
        <v>27</v>
      </c>
      <c r="L1816" t="b">
        <v>1</v>
      </c>
      <c r="M1816" t="s">
        <v>8944</v>
      </c>
      <c r="N1816" t="str">
        <f>"617.5/22"</f>
        <v>617.5/22</v>
      </c>
      <c r="P1816" t="b">
        <v>0</v>
      </c>
      <c r="R1816" t="str">
        <f>"9781550091465"</f>
        <v>9781550091465</v>
      </c>
      <c r="S1816" t="str">
        <f>"9781607952404"</f>
        <v>9781607952404</v>
      </c>
      <c r="T1816">
        <v>777576772</v>
      </c>
    </row>
    <row r="1817" spans="1:20" x14ac:dyDescent="0.25">
      <c r="A1817">
        <v>408277</v>
      </c>
      <c r="B1817" t="s">
        <v>8945</v>
      </c>
      <c r="D1817" t="s">
        <v>8274</v>
      </c>
      <c r="E1817" t="s">
        <v>8275</v>
      </c>
      <c r="F1817">
        <v>2009</v>
      </c>
      <c r="G1817" t="s">
        <v>8946</v>
      </c>
      <c r="H1817" t="s">
        <v>8947</v>
      </c>
      <c r="I1817" t="s">
        <v>8948</v>
      </c>
      <c r="J1817" t="s">
        <v>26</v>
      </c>
      <c r="K1817" t="s">
        <v>27</v>
      </c>
      <c r="L1817" t="b">
        <v>1</v>
      </c>
      <c r="M1817" t="s">
        <v>8949</v>
      </c>
      <c r="N1817" t="str">
        <f>"617.6/32"</f>
        <v>617.6/32</v>
      </c>
      <c r="P1817" t="b">
        <v>0</v>
      </c>
      <c r="R1817" t="str">
        <f>"9781550092677"</f>
        <v>9781550092677</v>
      </c>
      <c r="S1817" t="str">
        <f>"9781607952459"</f>
        <v>9781607952459</v>
      </c>
      <c r="T1817">
        <v>809041528</v>
      </c>
    </row>
    <row r="1818" spans="1:20" x14ac:dyDescent="0.25">
      <c r="A1818">
        <v>408240</v>
      </c>
      <c r="B1818" t="s">
        <v>8950</v>
      </c>
      <c r="D1818" t="s">
        <v>1151</v>
      </c>
      <c r="E1818" t="s">
        <v>8755</v>
      </c>
      <c r="F1818">
        <v>2004</v>
      </c>
      <c r="G1818" t="s">
        <v>8767</v>
      </c>
      <c r="H1818" t="s">
        <v>8951</v>
      </c>
      <c r="I1818" t="s">
        <v>8952</v>
      </c>
      <c r="J1818" t="s">
        <v>26</v>
      </c>
      <c r="K1818" t="s">
        <v>27</v>
      </c>
      <c r="L1818" t="b">
        <v>1</v>
      </c>
      <c r="M1818" t="s">
        <v>8953</v>
      </c>
      <c r="N1818" t="str">
        <f>"778.3"</f>
        <v>778.3</v>
      </c>
      <c r="P1818" t="b">
        <v>0</v>
      </c>
      <c r="R1818" t="str">
        <f>"9781584281191"</f>
        <v>9781584281191</v>
      </c>
      <c r="S1818" t="str">
        <f>"9781608954018"</f>
        <v>9781608954018</v>
      </c>
      <c r="T1818">
        <v>772462515</v>
      </c>
    </row>
    <row r="1819" spans="1:20" x14ac:dyDescent="0.25">
      <c r="A1819">
        <v>408238</v>
      </c>
      <c r="B1819" t="s">
        <v>8954</v>
      </c>
      <c r="C1819" t="s">
        <v>8955</v>
      </c>
      <c r="D1819" t="s">
        <v>1151</v>
      </c>
      <c r="E1819" t="s">
        <v>8755</v>
      </c>
      <c r="F1819">
        <v>2002</v>
      </c>
      <c r="G1819" t="s">
        <v>8956</v>
      </c>
      <c r="H1819" t="s">
        <v>8957</v>
      </c>
      <c r="I1819" t="s">
        <v>8958</v>
      </c>
      <c r="J1819" t="s">
        <v>26</v>
      </c>
      <c r="K1819" t="s">
        <v>27</v>
      </c>
      <c r="L1819" t="b">
        <v>1</v>
      </c>
      <c r="M1819" t="s">
        <v>8959</v>
      </c>
      <c r="N1819" t="str">
        <f>"778.9/2"</f>
        <v>778.9/2</v>
      </c>
      <c r="P1819" t="b">
        <v>0</v>
      </c>
      <c r="R1819" t="str">
        <f>"9781584280620"</f>
        <v>9781584280620</v>
      </c>
      <c r="S1819" t="str">
        <f>"9781608953691"</f>
        <v>9781608953691</v>
      </c>
      <c r="T1819">
        <v>777595274</v>
      </c>
    </row>
    <row r="1820" spans="1:20" x14ac:dyDescent="0.25">
      <c r="A1820">
        <v>408235</v>
      </c>
      <c r="B1820" t="s">
        <v>8960</v>
      </c>
      <c r="C1820" t="s">
        <v>8961</v>
      </c>
      <c r="D1820" t="s">
        <v>1151</v>
      </c>
      <c r="E1820" t="s">
        <v>8755</v>
      </c>
      <c r="F1820">
        <v>2000</v>
      </c>
      <c r="G1820" t="s">
        <v>8962</v>
      </c>
      <c r="H1820" t="s">
        <v>8963</v>
      </c>
      <c r="I1820" t="s">
        <v>8964</v>
      </c>
      <c r="J1820" t="s">
        <v>26</v>
      </c>
      <c r="K1820" t="s">
        <v>27</v>
      </c>
      <c r="L1820" t="b">
        <v>1</v>
      </c>
      <c r="M1820" t="s">
        <v>8965</v>
      </c>
      <c r="N1820" t="str">
        <f>"771"</f>
        <v>771</v>
      </c>
      <c r="P1820" t="b">
        <v>0</v>
      </c>
      <c r="R1820" t="str">
        <f>"9781584280279"</f>
        <v>9781584280279</v>
      </c>
      <c r="S1820" t="str">
        <f>"9781608953578"</f>
        <v>9781608953578</v>
      </c>
      <c r="T1820">
        <v>767735877</v>
      </c>
    </row>
    <row r="1821" spans="1:20" x14ac:dyDescent="0.25">
      <c r="A1821">
        <v>408233</v>
      </c>
      <c r="B1821" t="s">
        <v>8966</v>
      </c>
      <c r="D1821" t="s">
        <v>1151</v>
      </c>
      <c r="E1821" t="s">
        <v>8755</v>
      </c>
      <c r="F1821">
        <v>2004</v>
      </c>
      <c r="G1821" t="s">
        <v>8761</v>
      </c>
      <c r="H1821" t="s">
        <v>8967</v>
      </c>
      <c r="I1821" t="s">
        <v>8968</v>
      </c>
      <c r="J1821" t="s">
        <v>26</v>
      </c>
      <c r="K1821" t="s">
        <v>27</v>
      </c>
      <c r="L1821" t="b">
        <v>1</v>
      </c>
      <c r="M1821" t="s">
        <v>8969</v>
      </c>
      <c r="N1821" t="str">
        <f>"771"</f>
        <v>771</v>
      </c>
      <c r="P1821" t="b">
        <v>0</v>
      </c>
      <c r="R1821" t="str">
        <f>"9781584281238"</f>
        <v>9781584281238</v>
      </c>
      <c r="S1821" t="str">
        <f>"9781608953516"</f>
        <v>9781608953516</v>
      </c>
      <c r="T1821">
        <v>772463531</v>
      </c>
    </row>
    <row r="1822" spans="1:20" x14ac:dyDescent="0.25">
      <c r="A1822">
        <v>408173</v>
      </c>
      <c r="B1822" t="s">
        <v>8970</v>
      </c>
      <c r="D1822" t="s">
        <v>107</v>
      </c>
      <c r="E1822" t="s">
        <v>108</v>
      </c>
      <c r="F1822">
        <v>2011</v>
      </c>
      <c r="G1822" t="s">
        <v>8971</v>
      </c>
      <c r="H1822" t="s">
        <v>8972</v>
      </c>
      <c r="I1822" t="s">
        <v>8973</v>
      </c>
      <c r="J1822" t="s">
        <v>26</v>
      </c>
      <c r="K1822" t="s">
        <v>86</v>
      </c>
      <c r="L1822" t="b">
        <v>1</v>
      </c>
      <c r="M1822" t="s">
        <v>8974</v>
      </c>
      <c r="N1822" t="str">
        <f>"200.9"</f>
        <v>200.9</v>
      </c>
      <c r="P1822" t="b">
        <v>0</v>
      </c>
      <c r="Q1822" t="b">
        <v>0</v>
      </c>
      <c r="R1822" t="str">
        <f>"9781906716189"</f>
        <v>9781906716189</v>
      </c>
      <c r="S1822" t="str">
        <f>"9781903544273"</f>
        <v>9781903544273</v>
      </c>
      <c r="T1822">
        <v>768121375</v>
      </c>
    </row>
    <row r="1823" spans="1:20" x14ac:dyDescent="0.25">
      <c r="A1823">
        <v>408138</v>
      </c>
      <c r="B1823" t="s">
        <v>8975</v>
      </c>
      <c r="D1823" t="s">
        <v>2269</v>
      </c>
      <c r="E1823" t="s">
        <v>2269</v>
      </c>
      <c r="F1823">
        <v>2009</v>
      </c>
      <c r="G1823" t="s">
        <v>5823</v>
      </c>
      <c r="H1823" t="s">
        <v>8976</v>
      </c>
      <c r="I1823" t="s">
        <v>8977</v>
      </c>
      <c r="J1823" t="s">
        <v>26</v>
      </c>
      <c r="K1823" t="s">
        <v>27</v>
      </c>
      <c r="L1823" t="b">
        <v>1</v>
      </c>
      <c r="M1823" t="s">
        <v>8978</v>
      </c>
      <c r="N1823" t="str">
        <f>"579.8/1776"</f>
        <v>579.8/1776</v>
      </c>
      <c r="O1823" t="s">
        <v>8979</v>
      </c>
      <c r="P1823" t="b">
        <v>0</v>
      </c>
      <c r="Q1823" t="b">
        <v>0</v>
      </c>
      <c r="R1823" t="str">
        <f>"9781607410874"</f>
        <v>9781607410874</v>
      </c>
      <c r="S1823" t="str">
        <f>"9781614702122"</f>
        <v>9781614702122</v>
      </c>
      <c r="T1823">
        <v>777549381</v>
      </c>
    </row>
    <row r="1824" spans="1:20" x14ac:dyDescent="0.25">
      <c r="A1824">
        <v>408135</v>
      </c>
      <c r="B1824" t="s">
        <v>8980</v>
      </c>
      <c r="D1824" t="s">
        <v>2269</v>
      </c>
      <c r="E1824" t="s">
        <v>2269</v>
      </c>
      <c r="F1824">
        <v>2009</v>
      </c>
      <c r="G1824" t="s">
        <v>8981</v>
      </c>
      <c r="H1824" t="s">
        <v>8982</v>
      </c>
      <c r="I1824" t="s">
        <v>8983</v>
      </c>
      <c r="J1824" t="s">
        <v>26</v>
      </c>
      <c r="K1824" t="s">
        <v>27</v>
      </c>
      <c r="L1824" t="b">
        <v>1</v>
      </c>
      <c r="M1824" t="s">
        <v>8984</v>
      </c>
      <c r="N1824" t="str">
        <f>"616.079"</f>
        <v>616.079</v>
      </c>
      <c r="P1824" t="b">
        <v>0</v>
      </c>
      <c r="Q1824" t="b">
        <v>0</v>
      </c>
      <c r="R1824" t="str">
        <f>"9781606927168"</f>
        <v>9781606927168</v>
      </c>
      <c r="S1824" t="str">
        <f>"9781614702078"</f>
        <v>9781614702078</v>
      </c>
      <c r="T1824">
        <v>777549337</v>
      </c>
    </row>
    <row r="1825" spans="1:20" x14ac:dyDescent="0.25">
      <c r="A1825">
        <v>408134</v>
      </c>
      <c r="B1825" t="s">
        <v>8985</v>
      </c>
      <c r="D1825" t="s">
        <v>2269</v>
      </c>
      <c r="E1825" t="s">
        <v>2269</v>
      </c>
      <c r="F1825">
        <v>2009</v>
      </c>
      <c r="G1825" t="s">
        <v>8986</v>
      </c>
      <c r="H1825" t="s">
        <v>8987</v>
      </c>
      <c r="I1825" t="s">
        <v>8988</v>
      </c>
      <c r="J1825" t="s">
        <v>26</v>
      </c>
      <c r="K1825" t="s">
        <v>27</v>
      </c>
      <c r="L1825" t="b">
        <v>1</v>
      </c>
      <c r="M1825" t="s">
        <v>8989</v>
      </c>
      <c r="N1825" t="str">
        <f>"387.7/4042"</f>
        <v>387.7/4042</v>
      </c>
      <c r="P1825" t="b">
        <v>0</v>
      </c>
      <c r="Q1825" t="b">
        <v>0</v>
      </c>
      <c r="R1825" t="str">
        <f>"9781604569414"</f>
        <v>9781604569414</v>
      </c>
      <c r="S1825" t="str">
        <f>"9781614702061"</f>
        <v>9781614702061</v>
      </c>
      <c r="T1825">
        <v>777548877</v>
      </c>
    </row>
    <row r="1826" spans="1:20" x14ac:dyDescent="0.25">
      <c r="A1826">
        <v>408133</v>
      </c>
      <c r="B1826" t="s">
        <v>8990</v>
      </c>
      <c r="D1826" t="s">
        <v>2269</v>
      </c>
      <c r="E1826" t="s">
        <v>2269</v>
      </c>
      <c r="F1826">
        <v>2009</v>
      </c>
      <c r="G1826" t="s">
        <v>8991</v>
      </c>
      <c r="H1826" t="s">
        <v>8992</v>
      </c>
      <c r="I1826" t="s">
        <v>8993</v>
      </c>
      <c r="J1826" t="s">
        <v>26</v>
      </c>
      <c r="K1826" t="s">
        <v>27</v>
      </c>
      <c r="L1826" t="b">
        <v>1</v>
      </c>
      <c r="M1826" t="s">
        <v>8994</v>
      </c>
      <c r="N1826" t="str">
        <f>"616.9/362071"</f>
        <v>616.9/362071</v>
      </c>
      <c r="P1826" t="b">
        <v>0</v>
      </c>
      <c r="Q1826" t="b">
        <v>0</v>
      </c>
      <c r="R1826" t="str">
        <f>"9781606929438"</f>
        <v>9781606929438</v>
      </c>
      <c r="S1826" t="str">
        <f>"9781614702047"</f>
        <v>9781614702047</v>
      </c>
      <c r="T1826">
        <v>777548514</v>
      </c>
    </row>
    <row r="1827" spans="1:20" x14ac:dyDescent="0.25">
      <c r="A1827">
        <v>408122</v>
      </c>
      <c r="B1827" t="s">
        <v>8995</v>
      </c>
      <c r="D1827" t="s">
        <v>2269</v>
      </c>
      <c r="E1827" t="s">
        <v>8996</v>
      </c>
      <c r="F1827">
        <v>2009</v>
      </c>
      <c r="G1827" t="s">
        <v>8997</v>
      </c>
      <c r="H1827" t="s">
        <v>8998</v>
      </c>
      <c r="I1827" t="s">
        <v>8999</v>
      </c>
      <c r="J1827" t="s">
        <v>26</v>
      </c>
      <c r="K1827" t="s">
        <v>27</v>
      </c>
      <c r="L1827" t="b">
        <v>1</v>
      </c>
      <c r="M1827" t="s">
        <v>9000</v>
      </c>
      <c r="N1827" t="str">
        <f>"617.5/5620592"</f>
        <v>617.5/5620592</v>
      </c>
      <c r="P1827" t="b">
        <v>0</v>
      </c>
      <c r="Q1827" t="b">
        <v>0</v>
      </c>
      <c r="R1827" t="str">
        <f>"9781604569759"</f>
        <v>9781604569759</v>
      </c>
      <c r="S1827" t="str">
        <f>"9781614701903"</f>
        <v>9781614701903</v>
      </c>
      <c r="T1827">
        <v>774384436</v>
      </c>
    </row>
    <row r="1828" spans="1:20" x14ac:dyDescent="0.25">
      <c r="A1828">
        <v>408119</v>
      </c>
      <c r="B1828" t="s">
        <v>9001</v>
      </c>
      <c r="D1828" t="s">
        <v>2269</v>
      </c>
      <c r="E1828" t="s">
        <v>2269</v>
      </c>
      <c r="F1828">
        <v>2009</v>
      </c>
      <c r="G1828" t="s">
        <v>540</v>
      </c>
      <c r="H1828" t="s">
        <v>9002</v>
      </c>
      <c r="I1828" t="s">
        <v>9003</v>
      </c>
      <c r="J1828" t="s">
        <v>26</v>
      </c>
      <c r="K1828" t="s">
        <v>27</v>
      </c>
      <c r="L1828" t="b">
        <v>1</v>
      </c>
      <c r="M1828" t="s">
        <v>9004</v>
      </c>
      <c r="N1828" t="str">
        <f>"363.73"</f>
        <v>363.73</v>
      </c>
      <c r="O1828" t="s">
        <v>9005</v>
      </c>
      <c r="P1828" t="b">
        <v>0</v>
      </c>
      <c r="Q1828" t="b">
        <v>0</v>
      </c>
      <c r="R1828" t="str">
        <f>"9781604569179"</f>
        <v>9781604569179</v>
      </c>
      <c r="S1828" t="str">
        <f>"9781614700883"</f>
        <v>9781614700883</v>
      </c>
      <c r="T1828">
        <v>768111346</v>
      </c>
    </row>
    <row r="1829" spans="1:20" x14ac:dyDescent="0.25">
      <c r="A1829">
        <v>407473</v>
      </c>
      <c r="B1829" t="s">
        <v>9006</v>
      </c>
      <c r="C1829" t="s">
        <v>9007</v>
      </c>
      <c r="D1829" t="s">
        <v>1364</v>
      </c>
      <c r="E1829" t="s">
        <v>1364</v>
      </c>
      <c r="F1829">
        <v>2011</v>
      </c>
      <c r="G1829" t="s">
        <v>767</v>
      </c>
      <c r="H1829" t="s">
        <v>9008</v>
      </c>
      <c r="I1829" t="s">
        <v>9009</v>
      </c>
      <c r="J1829" t="s">
        <v>26</v>
      </c>
      <c r="K1829" t="s">
        <v>27</v>
      </c>
      <c r="L1829" t="b">
        <v>1</v>
      </c>
      <c r="M1829" t="s">
        <v>9010</v>
      </c>
      <c r="N1829" t="str">
        <f>"616.85/84100835"</f>
        <v>616.85/84100835</v>
      </c>
      <c r="O1829" t="s">
        <v>6260</v>
      </c>
      <c r="P1829" t="b">
        <v>0</v>
      </c>
      <c r="R1829" t="str">
        <f>"9783110255201"</f>
        <v>9783110255201</v>
      </c>
      <c r="S1829" t="str">
        <f>"9783110255690"</f>
        <v>9783110255690</v>
      </c>
      <c r="T1829">
        <v>769190328</v>
      </c>
    </row>
    <row r="1830" spans="1:20" x14ac:dyDescent="0.25">
      <c r="A1830">
        <v>407470</v>
      </c>
      <c r="B1830" t="s">
        <v>9011</v>
      </c>
      <c r="D1830" t="s">
        <v>1364</v>
      </c>
      <c r="E1830" t="s">
        <v>2275</v>
      </c>
      <c r="F1830">
        <v>2011</v>
      </c>
      <c r="G1830" t="s">
        <v>100</v>
      </c>
      <c r="H1830" t="s">
        <v>9012</v>
      </c>
      <c r="I1830" t="s">
        <v>9013</v>
      </c>
      <c r="J1830" t="s">
        <v>26</v>
      </c>
      <c r="K1830" t="s">
        <v>27</v>
      </c>
      <c r="L1830" t="b">
        <v>1</v>
      </c>
      <c r="M1830" t="s">
        <v>9014</v>
      </c>
      <c r="N1830" t="str">
        <f>"509.4/09033"</f>
        <v>509.4/09033</v>
      </c>
      <c r="P1830" t="b">
        <v>0</v>
      </c>
      <c r="R1830" t="str">
        <f>"9783110255058"</f>
        <v>9783110255058</v>
      </c>
      <c r="S1830" t="str">
        <f>"9783110255065"</f>
        <v>9783110255065</v>
      </c>
      <c r="T1830">
        <v>775064594</v>
      </c>
    </row>
    <row r="1831" spans="1:20" x14ac:dyDescent="0.25">
      <c r="A1831">
        <v>407456</v>
      </c>
      <c r="B1831" t="s">
        <v>9015</v>
      </c>
      <c r="C1831" t="s">
        <v>9016</v>
      </c>
      <c r="D1831" t="s">
        <v>1364</v>
      </c>
      <c r="E1831" t="s">
        <v>1364</v>
      </c>
      <c r="F1831">
        <v>2011</v>
      </c>
      <c r="G1831" t="s">
        <v>7374</v>
      </c>
      <c r="H1831" t="s">
        <v>9017</v>
      </c>
      <c r="I1831" t="s">
        <v>9018</v>
      </c>
      <c r="J1831" t="s">
        <v>26</v>
      </c>
      <c r="K1831" t="s">
        <v>27</v>
      </c>
      <c r="L1831" t="b">
        <v>1</v>
      </c>
      <c r="M1831" t="s">
        <v>9019</v>
      </c>
      <c r="N1831" t="str">
        <f>"541/.37072043"</f>
        <v>541/.37072043</v>
      </c>
      <c r="P1831" t="b">
        <v>0</v>
      </c>
      <c r="R1831" t="str">
        <f>"9783110239539"</f>
        <v>9783110239539</v>
      </c>
      <c r="S1831" t="str">
        <f>"9783110239546"</f>
        <v>9783110239546</v>
      </c>
      <c r="T1831">
        <v>769190337</v>
      </c>
    </row>
    <row r="1832" spans="1:20" x14ac:dyDescent="0.25">
      <c r="A1832">
        <v>407441</v>
      </c>
      <c r="B1832" t="s">
        <v>9020</v>
      </c>
      <c r="D1832" t="s">
        <v>1364</v>
      </c>
      <c r="E1832" t="s">
        <v>2275</v>
      </c>
      <c r="F1832">
        <v>2011</v>
      </c>
      <c r="G1832" t="s">
        <v>100</v>
      </c>
      <c r="H1832" t="s">
        <v>9021</v>
      </c>
      <c r="I1832" t="s">
        <v>9022</v>
      </c>
      <c r="J1832" t="s">
        <v>26</v>
      </c>
      <c r="K1832" t="s">
        <v>27</v>
      </c>
      <c r="L1832" t="b">
        <v>1</v>
      </c>
      <c r="M1832" t="s">
        <v>9023</v>
      </c>
      <c r="N1832" t="str">
        <f>"419"</f>
        <v>419</v>
      </c>
      <c r="O1832" t="s">
        <v>9024</v>
      </c>
      <c r="P1832" t="b">
        <v>0</v>
      </c>
      <c r="R1832" t="str">
        <f>"9781614510673"</f>
        <v>9781614510673</v>
      </c>
      <c r="S1832" t="str">
        <f>"9781614510680"</f>
        <v>9781614510680</v>
      </c>
      <c r="T1832">
        <v>769190339</v>
      </c>
    </row>
    <row r="1833" spans="1:20" x14ac:dyDescent="0.25">
      <c r="A1833">
        <v>405985</v>
      </c>
      <c r="B1833" t="s">
        <v>9025</v>
      </c>
      <c r="C1833" t="s">
        <v>9026</v>
      </c>
      <c r="D1833" t="s">
        <v>131</v>
      </c>
      <c r="E1833" t="s">
        <v>2389</v>
      </c>
      <c r="F1833">
        <v>2011</v>
      </c>
      <c r="G1833" t="s">
        <v>1738</v>
      </c>
      <c r="H1833" t="s">
        <v>9027</v>
      </c>
      <c r="I1833" t="s">
        <v>9028</v>
      </c>
      <c r="J1833" t="s">
        <v>26</v>
      </c>
      <c r="K1833" t="s">
        <v>86</v>
      </c>
      <c r="L1833" t="b">
        <v>1</v>
      </c>
      <c r="M1833" t="s">
        <v>9029</v>
      </c>
      <c r="N1833" t="str">
        <f>"303.48/33"</f>
        <v>303.48/33</v>
      </c>
      <c r="P1833" t="b">
        <v>0</v>
      </c>
      <c r="R1833" t="str">
        <f>"9780823234226"</f>
        <v>9780823234226</v>
      </c>
      <c r="S1833" t="str">
        <f>"9780823234240"</f>
        <v>9780823234240</v>
      </c>
      <c r="T1833">
        <v>760884549</v>
      </c>
    </row>
    <row r="1834" spans="1:20" x14ac:dyDescent="0.25">
      <c r="A1834">
        <v>405982</v>
      </c>
      <c r="B1834" t="s">
        <v>9030</v>
      </c>
      <c r="C1834" t="s">
        <v>9031</v>
      </c>
      <c r="D1834" t="s">
        <v>131</v>
      </c>
      <c r="E1834" t="s">
        <v>2389</v>
      </c>
      <c r="F1834">
        <v>2011</v>
      </c>
      <c r="G1834" t="s">
        <v>2335</v>
      </c>
      <c r="H1834" t="s">
        <v>9032</v>
      </c>
      <c r="I1834" t="s">
        <v>9033</v>
      </c>
      <c r="J1834" t="s">
        <v>26</v>
      </c>
      <c r="K1834" t="s">
        <v>86</v>
      </c>
      <c r="L1834" t="b">
        <v>1</v>
      </c>
      <c r="M1834" t="s">
        <v>9034</v>
      </c>
      <c r="N1834" t="str">
        <f>"296.09747/1"</f>
        <v>296.09747/1</v>
      </c>
      <c r="P1834" t="b">
        <v>0</v>
      </c>
      <c r="R1834" t="str">
        <f>"9780823239009"</f>
        <v>9780823239009</v>
      </c>
      <c r="S1834" t="str">
        <f>"9780823239023"</f>
        <v>9780823239023</v>
      </c>
      <c r="T1834">
        <v>760886265</v>
      </c>
    </row>
    <row r="1835" spans="1:20" x14ac:dyDescent="0.25">
      <c r="A1835">
        <v>405966</v>
      </c>
      <c r="B1835" t="s">
        <v>9035</v>
      </c>
      <c r="D1835" t="s">
        <v>5828</v>
      </c>
      <c r="E1835" t="s">
        <v>99</v>
      </c>
      <c r="F1835">
        <v>2011</v>
      </c>
      <c r="G1835" t="s">
        <v>7329</v>
      </c>
      <c r="H1835" t="s">
        <v>9036</v>
      </c>
      <c r="I1835" t="s">
        <v>9037</v>
      </c>
      <c r="J1835" t="s">
        <v>26</v>
      </c>
      <c r="K1835" t="s">
        <v>27</v>
      </c>
      <c r="L1835" t="b">
        <v>1</v>
      </c>
      <c r="M1835" t="s">
        <v>9038</v>
      </c>
      <c r="N1835" t="str">
        <f>"341.522"</f>
        <v>341.522</v>
      </c>
      <c r="P1835" t="b">
        <v>0</v>
      </c>
      <c r="R1835" t="str">
        <f>"9780199596843"</f>
        <v>9780199596843</v>
      </c>
      <c r="S1835" t="str">
        <f>"9780191616587"</f>
        <v>9780191616587</v>
      </c>
      <c r="T1835">
        <v>760884458</v>
      </c>
    </row>
    <row r="1836" spans="1:20" x14ac:dyDescent="0.25">
      <c r="A1836">
        <v>405965</v>
      </c>
      <c r="B1836" t="s">
        <v>9039</v>
      </c>
      <c r="D1836" t="s">
        <v>5828</v>
      </c>
      <c r="E1836" t="s">
        <v>99</v>
      </c>
      <c r="F1836">
        <v>2011</v>
      </c>
      <c r="G1836" t="s">
        <v>9040</v>
      </c>
      <c r="H1836" t="s">
        <v>9041</v>
      </c>
      <c r="I1836" t="s">
        <v>9042</v>
      </c>
      <c r="J1836" t="s">
        <v>26</v>
      </c>
      <c r="K1836" t="s">
        <v>27</v>
      </c>
      <c r="L1836" t="b">
        <v>1</v>
      </c>
      <c r="M1836" t="s">
        <v>9043</v>
      </c>
      <c r="N1836" t="str">
        <f>"343.410994"</f>
        <v>343.410994</v>
      </c>
      <c r="P1836" t="b">
        <v>0</v>
      </c>
      <c r="R1836" t="str">
        <f>"9780199562206"</f>
        <v>9780199562206</v>
      </c>
      <c r="S1836" t="str">
        <f>"9780191616006"</f>
        <v>9780191616006</v>
      </c>
      <c r="T1836">
        <v>760886336</v>
      </c>
    </row>
    <row r="1837" spans="1:20" x14ac:dyDescent="0.25">
      <c r="A1837">
        <v>403451</v>
      </c>
      <c r="B1837" t="s">
        <v>9044</v>
      </c>
      <c r="D1837" t="s">
        <v>2269</v>
      </c>
      <c r="E1837" t="s">
        <v>8996</v>
      </c>
      <c r="F1837">
        <v>2009</v>
      </c>
      <c r="G1837" t="s">
        <v>9045</v>
      </c>
      <c r="H1837" t="s">
        <v>9046</v>
      </c>
      <c r="I1837" t="s">
        <v>9047</v>
      </c>
      <c r="J1837" t="s">
        <v>26</v>
      </c>
      <c r="K1837" t="s">
        <v>27</v>
      </c>
      <c r="L1837" t="b">
        <v>1</v>
      </c>
      <c r="M1837" t="s">
        <v>9048</v>
      </c>
      <c r="N1837" t="str">
        <f>"612.3/98"</f>
        <v>612.3/98</v>
      </c>
      <c r="P1837" t="b">
        <v>0</v>
      </c>
      <c r="R1837" t="str">
        <f>"9781606921562"</f>
        <v>9781606921562</v>
      </c>
      <c r="S1837" t="str">
        <f>"9781614707042"</f>
        <v>9781614707042</v>
      </c>
      <c r="T1837">
        <v>768119665</v>
      </c>
    </row>
    <row r="1838" spans="1:20" x14ac:dyDescent="0.25">
      <c r="A1838">
        <v>403447</v>
      </c>
      <c r="B1838" t="s">
        <v>9049</v>
      </c>
      <c r="D1838" t="s">
        <v>2269</v>
      </c>
      <c r="E1838" t="s">
        <v>2269</v>
      </c>
      <c r="F1838">
        <v>2009</v>
      </c>
      <c r="G1838" t="s">
        <v>9050</v>
      </c>
      <c r="H1838" t="s">
        <v>9051</v>
      </c>
      <c r="I1838" t="s">
        <v>9052</v>
      </c>
      <c r="J1838" t="s">
        <v>26</v>
      </c>
      <c r="K1838" t="s">
        <v>27</v>
      </c>
      <c r="L1838" t="b">
        <v>1</v>
      </c>
      <c r="M1838" t="s">
        <v>9053</v>
      </c>
      <c r="N1838" t="str">
        <f>"547/.7"</f>
        <v>547/.7</v>
      </c>
      <c r="P1838" t="b">
        <v>0</v>
      </c>
      <c r="Q1838" t="b">
        <v>0</v>
      </c>
      <c r="R1838" t="str">
        <f>"9781604568783"</f>
        <v>9781604568783</v>
      </c>
      <c r="S1838" t="str">
        <f>"9781614706250"</f>
        <v>9781614706250</v>
      </c>
      <c r="T1838">
        <v>768111347</v>
      </c>
    </row>
    <row r="1839" spans="1:20" x14ac:dyDescent="0.25">
      <c r="A1839">
        <v>403445</v>
      </c>
      <c r="B1839" t="s">
        <v>9054</v>
      </c>
      <c r="C1839" t="s">
        <v>9055</v>
      </c>
      <c r="D1839" t="s">
        <v>2269</v>
      </c>
      <c r="E1839" t="s">
        <v>2269</v>
      </c>
      <c r="F1839">
        <v>2009</v>
      </c>
      <c r="G1839" t="s">
        <v>6758</v>
      </c>
      <c r="H1839" t="s">
        <v>9056</v>
      </c>
      <c r="I1839" t="s">
        <v>9057</v>
      </c>
      <c r="J1839" t="s">
        <v>26</v>
      </c>
      <c r="K1839" t="s">
        <v>27</v>
      </c>
      <c r="L1839" t="b">
        <v>1</v>
      </c>
      <c r="M1839" t="s">
        <v>9058</v>
      </c>
      <c r="N1839" t="str">
        <f>"540"</f>
        <v>540</v>
      </c>
      <c r="P1839" t="b">
        <v>0</v>
      </c>
      <c r="Q1839" t="b">
        <v>0</v>
      </c>
      <c r="R1839" t="str">
        <f>"9781606923443"</f>
        <v>9781606923443</v>
      </c>
      <c r="S1839" t="str">
        <f>"9781614706236"</f>
        <v>9781614706236</v>
      </c>
      <c r="T1839">
        <v>770670055</v>
      </c>
    </row>
    <row r="1840" spans="1:20" x14ac:dyDescent="0.25">
      <c r="A1840">
        <v>403444</v>
      </c>
      <c r="B1840" t="s">
        <v>9059</v>
      </c>
      <c r="D1840" t="s">
        <v>2269</v>
      </c>
      <c r="E1840" t="s">
        <v>2269</v>
      </c>
      <c r="F1840">
        <v>2009</v>
      </c>
      <c r="G1840" t="s">
        <v>9060</v>
      </c>
      <c r="H1840" t="s">
        <v>9061</v>
      </c>
      <c r="I1840" t="s">
        <v>9062</v>
      </c>
      <c r="J1840" t="s">
        <v>26</v>
      </c>
      <c r="K1840" t="s">
        <v>27</v>
      </c>
      <c r="L1840" t="b">
        <v>1</v>
      </c>
      <c r="M1840" t="s">
        <v>9063</v>
      </c>
      <c r="N1840" t="str">
        <f>"003/.857"</f>
        <v>003/.857</v>
      </c>
      <c r="P1840" t="b">
        <v>0</v>
      </c>
      <c r="Q1840" t="b">
        <v>0</v>
      </c>
      <c r="R1840" t="str">
        <f>"9781604563757"</f>
        <v>9781604563757</v>
      </c>
      <c r="S1840" t="str">
        <f>"9781614706229"</f>
        <v>9781614706229</v>
      </c>
      <c r="T1840">
        <v>768121181</v>
      </c>
    </row>
    <row r="1841" spans="1:20" x14ac:dyDescent="0.25">
      <c r="A1841">
        <v>403440</v>
      </c>
      <c r="B1841" t="s">
        <v>9064</v>
      </c>
      <c r="C1841" t="s">
        <v>9065</v>
      </c>
      <c r="D1841" t="s">
        <v>2269</v>
      </c>
      <c r="E1841" t="s">
        <v>2269</v>
      </c>
      <c r="F1841">
        <v>2009</v>
      </c>
      <c r="G1841" t="s">
        <v>9066</v>
      </c>
      <c r="H1841" t="s">
        <v>9067</v>
      </c>
      <c r="I1841" t="s">
        <v>9068</v>
      </c>
      <c r="J1841" t="s">
        <v>26</v>
      </c>
      <c r="K1841" t="s">
        <v>27</v>
      </c>
      <c r="L1841" t="b">
        <v>1</v>
      </c>
      <c r="M1841" t="s">
        <v>9069</v>
      </c>
      <c r="N1841" t="str">
        <f>"599.8"</f>
        <v>599.8</v>
      </c>
      <c r="O1841" t="s">
        <v>9070</v>
      </c>
      <c r="P1841" t="b">
        <v>0</v>
      </c>
      <c r="Q1841" t="b">
        <v>0</v>
      </c>
      <c r="R1841" t="str">
        <f>"9781607418528"</f>
        <v>9781607418528</v>
      </c>
      <c r="S1841" t="str">
        <f>"9781614706168"</f>
        <v>9781614706168</v>
      </c>
      <c r="T1841">
        <v>768770705</v>
      </c>
    </row>
    <row r="1842" spans="1:20" x14ac:dyDescent="0.25">
      <c r="A1842">
        <v>403436</v>
      </c>
      <c r="B1842" t="s">
        <v>9071</v>
      </c>
      <c r="D1842" t="s">
        <v>2269</v>
      </c>
      <c r="E1842" t="s">
        <v>2269</v>
      </c>
      <c r="F1842">
        <v>2009</v>
      </c>
      <c r="G1842" t="s">
        <v>9072</v>
      </c>
      <c r="H1842" t="s">
        <v>9073</v>
      </c>
      <c r="I1842" t="s">
        <v>9074</v>
      </c>
      <c r="J1842" t="s">
        <v>26</v>
      </c>
      <c r="K1842" t="s">
        <v>27</v>
      </c>
      <c r="L1842" t="b">
        <v>1</v>
      </c>
      <c r="M1842" t="s">
        <v>9075</v>
      </c>
      <c r="N1842" t="str">
        <f>"612.6/4"</f>
        <v>612.6/4</v>
      </c>
      <c r="P1842" t="b">
        <v>0</v>
      </c>
      <c r="Q1842" t="b">
        <v>0</v>
      </c>
      <c r="R1842" t="str">
        <f>"9781606923962"</f>
        <v>9781606923962</v>
      </c>
      <c r="S1842" t="str">
        <f>"9781614706090"</f>
        <v>9781614706090</v>
      </c>
      <c r="T1842">
        <v>768111309</v>
      </c>
    </row>
    <row r="1843" spans="1:20" x14ac:dyDescent="0.25">
      <c r="A1843">
        <v>403434</v>
      </c>
      <c r="B1843" t="s">
        <v>9076</v>
      </c>
      <c r="D1843" t="s">
        <v>2269</v>
      </c>
      <c r="E1843" t="s">
        <v>2269</v>
      </c>
      <c r="F1843">
        <v>2009</v>
      </c>
      <c r="G1843" t="s">
        <v>355</v>
      </c>
      <c r="H1843" t="s">
        <v>9077</v>
      </c>
      <c r="I1843" t="s">
        <v>9078</v>
      </c>
      <c r="J1843" t="s">
        <v>26</v>
      </c>
      <c r="K1843" t="s">
        <v>27</v>
      </c>
      <c r="L1843" t="b">
        <v>1</v>
      </c>
      <c r="M1843" t="s">
        <v>9079</v>
      </c>
      <c r="N1843" t="str">
        <f>"671.3/7"</f>
        <v>671.3/7</v>
      </c>
      <c r="P1843" t="b">
        <v>0</v>
      </c>
      <c r="Q1843" t="b">
        <v>0</v>
      </c>
      <c r="R1843" t="str">
        <f>"9781604568523"</f>
        <v>9781604568523</v>
      </c>
      <c r="S1843" t="str">
        <f>"9781614706038"</f>
        <v>9781614706038</v>
      </c>
      <c r="T1843">
        <v>768111358</v>
      </c>
    </row>
    <row r="1844" spans="1:20" x14ac:dyDescent="0.25">
      <c r="A1844">
        <v>403431</v>
      </c>
      <c r="B1844" t="s">
        <v>9080</v>
      </c>
      <c r="C1844" t="s">
        <v>9081</v>
      </c>
      <c r="D1844" t="s">
        <v>2269</v>
      </c>
      <c r="E1844" t="s">
        <v>2269</v>
      </c>
      <c r="F1844">
        <v>2009</v>
      </c>
      <c r="G1844" t="s">
        <v>8669</v>
      </c>
      <c r="H1844" t="s">
        <v>9082</v>
      </c>
      <c r="I1844" t="s">
        <v>9083</v>
      </c>
      <c r="J1844" t="s">
        <v>26</v>
      </c>
      <c r="K1844" t="s">
        <v>27</v>
      </c>
      <c r="L1844" t="b">
        <v>1</v>
      </c>
      <c r="M1844" t="s">
        <v>9084</v>
      </c>
      <c r="N1844" t="str">
        <f>"616.99/40642"</f>
        <v>616.99/40642</v>
      </c>
      <c r="P1844" t="b">
        <v>0</v>
      </c>
      <c r="Q1844" t="b">
        <v>0</v>
      </c>
      <c r="R1844" t="str">
        <f>"9781606929445"</f>
        <v>9781606929445</v>
      </c>
      <c r="S1844" t="str">
        <f>"9781614705994"</f>
        <v>9781614705994</v>
      </c>
      <c r="T1844">
        <v>768119668</v>
      </c>
    </row>
    <row r="1845" spans="1:20" x14ac:dyDescent="0.25">
      <c r="A1845">
        <v>403430</v>
      </c>
      <c r="B1845" t="s">
        <v>9085</v>
      </c>
      <c r="D1845" t="s">
        <v>2269</v>
      </c>
      <c r="E1845" t="s">
        <v>2269</v>
      </c>
      <c r="F1845">
        <v>2009</v>
      </c>
      <c r="G1845" t="s">
        <v>9050</v>
      </c>
      <c r="H1845" t="s">
        <v>9086</v>
      </c>
      <c r="I1845" t="s">
        <v>9087</v>
      </c>
      <c r="J1845" t="s">
        <v>26</v>
      </c>
      <c r="K1845" t="s">
        <v>27</v>
      </c>
      <c r="L1845" t="b">
        <v>1</v>
      </c>
      <c r="M1845" t="s">
        <v>9088</v>
      </c>
      <c r="N1845" t="str">
        <f>"547.7"</f>
        <v>547.7</v>
      </c>
      <c r="P1845" t="b">
        <v>0</v>
      </c>
      <c r="Q1845" t="b">
        <v>0</v>
      </c>
      <c r="R1845" t="str">
        <f>"9781606923849"</f>
        <v>9781606923849</v>
      </c>
      <c r="S1845" t="str">
        <f>"9781614705987"</f>
        <v>9781614705987</v>
      </c>
      <c r="T1845">
        <v>768111330</v>
      </c>
    </row>
    <row r="1846" spans="1:20" x14ac:dyDescent="0.25">
      <c r="A1846">
        <v>403427</v>
      </c>
      <c r="B1846" t="s">
        <v>9089</v>
      </c>
      <c r="D1846" t="s">
        <v>2269</v>
      </c>
      <c r="E1846" t="s">
        <v>2269</v>
      </c>
      <c r="F1846">
        <v>2009</v>
      </c>
      <c r="G1846" t="s">
        <v>303</v>
      </c>
      <c r="H1846" t="s">
        <v>9090</v>
      </c>
      <c r="I1846" t="s">
        <v>9091</v>
      </c>
      <c r="J1846" t="s">
        <v>26</v>
      </c>
      <c r="K1846" t="s">
        <v>27</v>
      </c>
      <c r="L1846" t="b">
        <v>1</v>
      </c>
      <c r="M1846" t="s">
        <v>9092</v>
      </c>
      <c r="N1846" t="str">
        <f>"668.4/192"</f>
        <v>668.4/192</v>
      </c>
      <c r="P1846" t="b">
        <v>0</v>
      </c>
      <c r="Q1846" t="b">
        <v>0</v>
      </c>
      <c r="R1846" t="str">
        <f>"9781604569698"</f>
        <v>9781604569698</v>
      </c>
      <c r="S1846" t="str">
        <f>"9781614705901"</f>
        <v>9781614705901</v>
      </c>
      <c r="T1846">
        <v>768111287</v>
      </c>
    </row>
    <row r="1847" spans="1:20" x14ac:dyDescent="0.25">
      <c r="A1847">
        <v>400974</v>
      </c>
      <c r="B1847" t="s">
        <v>9093</v>
      </c>
      <c r="D1847" t="s">
        <v>9094</v>
      </c>
      <c r="E1847" t="s">
        <v>9095</v>
      </c>
      <c r="F1847">
        <v>2008</v>
      </c>
      <c r="G1847" t="s">
        <v>5889</v>
      </c>
      <c r="H1847" t="s">
        <v>9096</v>
      </c>
      <c r="I1847" t="s">
        <v>9097</v>
      </c>
      <c r="J1847" t="s">
        <v>26</v>
      </c>
      <c r="K1847" t="s">
        <v>27</v>
      </c>
      <c r="L1847" t="b">
        <v>1</v>
      </c>
      <c r="M1847" t="s">
        <v>9098</v>
      </c>
      <c r="N1847" t="str">
        <f>"616.861"</f>
        <v>616.861</v>
      </c>
      <c r="P1847" t="b">
        <v>0</v>
      </c>
      <c r="R1847" t="str">
        <f>"9781905539161"</f>
        <v>9781905539161</v>
      </c>
      <c r="S1847" t="str">
        <f>"9781907830167"</f>
        <v>9781907830167</v>
      </c>
      <c r="T1847">
        <v>760884508</v>
      </c>
    </row>
    <row r="1848" spans="1:20" x14ac:dyDescent="0.25">
      <c r="A1848">
        <v>400964</v>
      </c>
      <c r="B1848" t="s">
        <v>9099</v>
      </c>
      <c r="C1848" t="s">
        <v>9100</v>
      </c>
      <c r="D1848" t="s">
        <v>9094</v>
      </c>
      <c r="E1848" t="s">
        <v>9095</v>
      </c>
      <c r="F1848">
        <v>2009</v>
      </c>
      <c r="G1848" t="s">
        <v>1054</v>
      </c>
      <c r="H1848" t="s">
        <v>9101</v>
      </c>
      <c r="I1848" t="s">
        <v>9102</v>
      </c>
      <c r="J1848" t="s">
        <v>26</v>
      </c>
      <c r="K1848" t="s">
        <v>27</v>
      </c>
      <c r="L1848" t="b">
        <v>1</v>
      </c>
      <c r="M1848" t="s">
        <v>9103</v>
      </c>
      <c r="N1848" t="str">
        <f>"616.145"</f>
        <v>616.145</v>
      </c>
      <c r="P1848" t="b">
        <v>0</v>
      </c>
      <c r="R1848" t="str">
        <f>"9781905539512"</f>
        <v>9781905539512</v>
      </c>
      <c r="S1848" t="str">
        <f>"9781907830518"</f>
        <v>9781907830518</v>
      </c>
      <c r="T1848">
        <v>760886268</v>
      </c>
    </row>
    <row r="1849" spans="1:20" x14ac:dyDescent="0.25">
      <c r="A1849">
        <v>400963</v>
      </c>
      <c r="B1849" t="s">
        <v>9104</v>
      </c>
      <c r="D1849" t="s">
        <v>9094</v>
      </c>
      <c r="E1849" t="s">
        <v>9095</v>
      </c>
      <c r="F1849">
        <v>2009</v>
      </c>
      <c r="G1849" t="s">
        <v>8695</v>
      </c>
      <c r="H1849" t="s">
        <v>9105</v>
      </c>
      <c r="I1849" t="s">
        <v>9106</v>
      </c>
      <c r="J1849" t="s">
        <v>26</v>
      </c>
      <c r="K1849" t="s">
        <v>27</v>
      </c>
      <c r="L1849" t="b">
        <v>1</v>
      </c>
      <c r="M1849" t="s">
        <v>9107</v>
      </c>
      <c r="N1849" t="str">
        <f>"616.707572"</f>
        <v>616.707572</v>
      </c>
      <c r="P1849" t="b">
        <v>0</v>
      </c>
      <c r="R1849" t="str">
        <f>"9781905539475"</f>
        <v>9781905539475</v>
      </c>
      <c r="S1849" t="str">
        <f>"9781907830471"</f>
        <v>9781907830471</v>
      </c>
      <c r="T1849">
        <v>764478762</v>
      </c>
    </row>
    <row r="1850" spans="1:20" x14ac:dyDescent="0.25">
      <c r="A1850">
        <v>400962</v>
      </c>
      <c r="B1850" t="s">
        <v>9108</v>
      </c>
      <c r="C1850" t="s">
        <v>9109</v>
      </c>
      <c r="D1850" t="s">
        <v>9094</v>
      </c>
      <c r="E1850" t="s">
        <v>9095</v>
      </c>
      <c r="F1850">
        <v>2009</v>
      </c>
      <c r="G1850" t="s">
        <v>9110</v>
      </c>
      <c r="H1850" t="s">
        <v>9111</v>
      </c>
      <c r="I1850" t="s">
        <v>9112</v>
      </c>
      <c r="J1850" t="s">
        <v>26</v>
      </c>
      <c r="K1850" t="s">
        <v>27</v>
      </c>
      <c r="L1850" t="b">
        <v>1</v>
      </c>
      <c r="M1850" t="s">
        <v>9113</v>
      </c>
      <c r="N1850" t="str">
        <f>"612.14"</f>
        <v>612.14</v>
      </c>
      <c r="O1850" t="s">
        <v>9114</v>
      </c>
      <c r="P1850" t="b">
        <v>0</v>
      </c>
      <c r="R1850" t="str">
        <f>"9781905539468"</f>
        <v>9781905539468</v>
      </c>
      <c r="S1850" t="str">
        <f>"9781907830464"</f>
        <v>9781907830464</v>
      </c>
      <c r="T1850">
        <v>764494225</v>
      </c>
    </row>
    <row r="1851" spans="1:20" x14ac:dyDescent="0.25">
      <c r="A1851">
        <v>400959</v>
      </c>
      <c r="B1851" t="s">
        <v>9115</v>
      </c>
      <c r="D1851" t="s">
        <v>9094</v>
      </c>
      <c r="E1851" t="s">
        <v>9095</v>
      </c>
      <c r="F1851">
        <v>2007</v>
      </c>
      <c r="G1851" t="s">
        <v>2122</v>
      </c>
      <c r="H1851" t="s">
        <v>9116</v>
      </c>
      <c r="I1851" t="s">
        <v>9117</v>
      </c>
      <c r="J1851" t="s">
        <v>26</v>
      </c>
      <c r="K1851" t="s">
        <v>27</v>
      </c>
      <c r="L1851" t="b">
        <v>1</v>
      </c>
      <c r="M1851" t="s">
        <v>9118</v>
      </c>
      <c r="N1851" t="str">
        <f>"617.58500941"</f>
        <v>617.58500941</v>
      </c>
      <c r="P1851" t="b">
        <v>0</v>
      </c>
      <c r="R1851" t="str">
        <f>"9781905539413"</f>
        <v>9781905539413</v>
      </c>
      <c r="S1851" t="str">
        <f>"9781907830419"</f>
        <v>9781907830419</v>
      </c>
      <c r="T1851">
        <v>764478473</v>
      </c>
    </row>
    <row r="1852" spans="1:20" x14ac:dyDescent="0.25">
      <c r="A1852">
        <v>400958</v>
      </c>
      <c r="B1852" t="s">
        <v>9119</v>
      </c>
      <c r="D1852" t="s">
        <v>9094</v>
      </c>
      <c r="E1852" t="s">
        <v>9095</v>
      </c>
      <c r="F1852">
        <v>2009</v>
      </c>
      <c r="G1852" t="s">
        <v>8238</v>
      </c>
      <c r="H1852" t="s">
        <v>9120</v>
      </c>
      <c r="I1852" t="s">
        <v>9121</v>
      </c>
      <c r="J1852" t="s">
        <v>26</v>
      </c>
      <c r="K1852" t="s">
        <v>27</v>
      </c>
      <c r="L1852" t="b">
        <v>1</v>
      </c>
      <c r="M1852" t="s">
        <v>9122</v>
      </c>
      <c r="N1852" t="str">
        <f>"617.7"</f>
        <v>617.7</v>
      </c>
      <c r="P1852" t="b">
        <v>0</v>
      </c>
      <c r="R1852" t="str">
        <f>"9781905539406"</f>
        <v>9781905539406</v>
      </c>
      <c r="S1852" t="str">
        <f>"9781907830402"</f>
        <v>9781907830402</v>
      </c>
      <c r="T1852">
        <v>726825886</v>
      </c>
    </row>
    <row r="1853" spans="1:20" x14ac:dyDescent="0.25">
      <c r="A1853">
        <v>400956</v>
      </c>
      <c r="B1853" t="s">
        <v>9123</v>
      </c>
      <c r="D1853" t="s">
        <v>9094</v>
      </c>
      <c r="E1853" t="s">
        <v>9095</v>
      </c>
      <c r="F1853">
        <v>2007</v>
      </c>
      <c r="G1853" t="s">
        <v>767</v>
      </c>
      <c r="H1853" t="s">
        <v>9124</v>
      </c>
      <c r="I1853" t="s">
        <v>9125</v>
      </c>
      <c r="J1853" t="s">
        <v>26</v>
      </c>
      <c r="K1853" t="s">
        <v>27</v>
      </c>
      <c r="L1853" t="b">
        <v>1</v>
      </c>
      <c r="M1853" t="s">
        <v>9126</v>
      </c>
      <c r="N1853" t="str">
        <f>"616.07561"</f>
        <v>616.07561</v>
      </c>
      <c r="P1853" t="b">
        <v>0</v>
      </c>
      <c r="R1853" t="str">
        <f>"9781905539383"</f>
        <v>9781905539383</v>
      </c>
      <c r="S1853" t="str">
        <f>"9781907830389"</f>
        <v>9781907830389</v>
      </c>
      <c r="T1853">
        <v>764556810</v>
      </c>
    </row>
    <row r="1854" spans="1:20" x14ac:dyDescent="0.25">
      <c r="A1854">
        <v>400954</v>
      </c>
      <c r="B1854" t="s">
        <v>9127</v>
      </c>
      <c r="D1854" t="s">
        <v>9094</v>
      </c>
      <c r="E1854" t="s">
        <v>9095</v>
      </c>
      <c r="F1854">
        <v>2008</v>
      </c>
      <c r="G1854" t="s">
        <v>8684</v>
      </c>
      <c r="H1854" t="s">
        <v>9128</v>
      </c>
      <c r="I1854" t="s">
        <v>9129</v>
      </c>
      <c r="J1854" t="s">
        <v>26</v>
      </c>
      <c r="K1854" t="s">
        <v>27</v>
      </c>
      <c r="L1854" t="b">
        <v>1</v>
      </c>
      <c r="M1854" t="s">
        <v>9130</v>
      </c>
      <c r="N1854" t="str">
        <f>"618.9/20025 22 22 22 22"</f>
        <v>618.9/20025 22 22 22 22</v>
      </c>
      <c r="P1854" t="b">
        <v>0</v>
      </c>
      <c r="R1854" t="str">
        <f>"9781905539352"</f>
        <v>9781905539352</v>
      </c>
      <c r="S1854" t="str">
        <f>"9781907830358"</f>
        <v>9781907830358</v>
      </c>
      <c r="T1854">
        <v>432994936</v>
      </c>
    </row>
    <row r="1855" spans="1:20" x14ac:dyDescent="0.25">
      <c r="A1855">
        <v>400953</v>
      </c>
      <c r="B1855" t="s">
        <v>9131</v>
      </c>
      <c r="D1855" t="s">
        <v>9094</v>
      </c>
      <c r="E1855" t="s">
        <v>9095</v>
      </c>
      <c r="F1855">
        <v>2008</v>
      </c>
      <c r="G1855" t="s">
        <v>4275</v>
      </c>
      <c r="H1855" t="s">
        <v>9132</v>
      </c>
      <c r="I1855" t="s">
        <v>9133</v>
      </c>
      <c r="J1855" t="s">
        <v>26</v>
      </c>
      <c r="K1855" t="s">
        <v>27</v>
      </c>
      <c r="L1855" t="b">
        <v>1</v>
      </c>
      <c r="M1855" t="s">
        <v>9107</v>
      </c>
      <c r="N1855" t="str">
        <f>"617.4706422"</f>
        <v>617.4706422</v>
      </c>
      <c r="P1855" t="b">
        <v>0</v>
      </c>
      <c r="R1855" t="str">
        <f>"9781905539345"</f>
        <v>9781905539345</v>
      </c>
      <c r="S1855" t="str">
        <f>"9781907830341"</f>
        <v>9781907830341</v>
      </c>
      <c r="T1855">
        <v>666970545</v>
      </c>
    </row>
    <row r="1856" spans="1:20" x14ac:dyDescent="0.25">
      <c r="A1856">
        <v>400952</v>
      </c>
      <c r="B1856" t="s">
        <v>9134</v>
      </c>
      <c r="C1856" t="s">
        <v>9135</v>
      </c>
      <c r="D1856" t="s">
        <v>9094</v>
      </c>
      <c r="E1856" t="s">
        <v>9095</v>
      </c>
      <c r="F1856">
        <v>2009</v>
      </c>
      <c r="G1856" t="s">
        <v>9136</v>
      </c>
      <c r="H1856" t="s">
        <v>9137</v>
      </c>
      <c r="I1856" t="s">
        <v>4824</v>
      </c>
      <c r="J1856" t="s">
        <v>26</v>
      </c>
      <c r="K1856" t="s">
        <v>27</v>
      </c>
      <c r="L1856" t="b">
        <v>1</v>
      </c>
      <c r="M1856" t="s">
        <v>9138</v>
      </c>
      <c r="N1856" t="str">
        <f>"610.730699"</f>
        <v>610.730699</v>
      </c>
      <c r="P1856" t="b">
        <v>0</v>
      </c>
      <c r="R1856" t="str">
        <f>"9781905539314"</f>
        <v>9781905539314</v>
      </c>
      <c r="S1856" t="str">
        <f>"9781907830310"</f>
        <v>9781907830310</v>
      </c>
      <c r="T1856">
        <v>726825905</v>
      </c>
    </row>
    <row r="1857" spans="1:20" x14ac:dyDescent="0.25">
      <c r="A1857">
        <v>400950</v>
      </c>
      <c r="B1857" t="s">
        <v>9139</v>
      </c>
      <c r="C1857" t="s">
        <v>316</v>
      </c>
      <c r="D1857" t="s">
        <v>9094</v>
      </c>
      <c r="E1857" t="s">
        <v>9095</v>
      </c>
      <c r="F1857">
        <v>2007</v>
      </c>
      <c r="G1857" t="s">
        <v>8679</v>
      </c>
      <c r="H1857" t="s">
        <v>9140</v>
      </c>
      <c r="I1857" t="s">
        <v>9141</v>
      </c>
      <c r="J1857" t="s">
        <v>26</v>
      </c>
      <c r="K1857" t="s">
        <v>27</v>
      </c>
      <c r="L1857" t="b">
        <v>1</v>
      </c>
      <c r="M1857" t="s">
        <v>9142</v>
      </c>
      <c r="N1857" t="str">
        <f>"616.24"</f>
        <v>616.24</v>
      </c>
      <c r="P1857" t="b">
        <v>0</v>
      </c>
      <c r="R1857" t="str">
        <f>"9781905539284"</f>
        <v>9781905539284</v>
      </c>
      <c r="S1857" t="str">
        <f>"9781907830280"</f>
        <v>9781907830280</v>
      </c>
      <c r="T1857">
        <v>764478591</v>
      </c>
    </row>
    <row r="1858" spans="1:20" x14ac:dyDescent="0.25">
      <c r="A1858">
        <v>400948</v>
      </c>
      <c r="B1858" t="s">
        <v>9143</v>
      </c>
      <c r="C1858" t="s">
        <v>9144</v>
      </c>
      <c r="D1858" t="s">
        <v>9094</v>
      </c>
      <c r="E1858" t="s">
        <v>9095</v>
      </c>
      <c r="F1858">
        <v>2008</v>
      </c>
      <c r="G1858" t="s">
        <v>9145</v>
      </c>
      <c r="H1858" t="s">
        <v>9146</v>
      </c>
      <c r="I1858" t="s">
        <v>9147</v>
      </c>
      <c r="J1858" t="s">
        <v>26</v>
      </c>
      <c r="K1858" t="s">
        <v>27</v>
      </c>
      <c r="L1858" t="b">
        <v>1</v>
      </c>
      <c r="M1858" t="s">
        <v>9148</v>
      </c>
      <c r="N1858" t="str">
        <f>"613.2083"</f>
        <v>613.2083</v>
      </c>
      <c r="P1858" t="b">
        <v>0</v>
      </c>
      <c r="R1858" t="str">
        <f>"9781905539260"</f>
        <v>9781905539260</v>
      </c>
      <c r="S1858" t="str">
        <f>"9781907830266"</f>
        <v>9781907830266</v>
      </c>
      <c r="T1858">
        <v>666974124</v>
      </c>
    </row>
    <row r="1859" spans="1:20" x14ac:dyDescent="0.25">
      <c r="A1859">
        <v>400947</v>
      </c>
      <c r="B1859" t="s">
        <v>9149</v>
      </c>
      <c r="D1859" t="s">
        <v>9094</v>
      </c>
      <c r="E1859" t="s">
        <v>9095</v>
      </c>
      <c r="F1859">
        <v>2008</v>
      </c>
      <c r="G1859" t="s">
        <v>2022</v>
      </c>
      <c r="H1859" t="s">
        <v>9150</v>
      </c>
      <c r="I1859" t="s">
        <v>9151</v>
      </c>
      <c r="J1859" t="s">
        <v>26</v>
      </c>
      <c r="K1859" t="s">
        <v>27</v>
      </c>
      <c r="L1859" t="b">
        <v>1</v>
      </c>
      <c r="M1859" t="s">
        <v>9152</v>
      </c>
      <c r="N1859" t="str">
        <f>"610.73076"</f>
        <v>610.73076</v>
      </c>
      <c r="P1859" t="b">
        <v>0</v>
      </c>
      <c r="R1859" t="str">
        <f>"9781905539239"</f>
        <v>9781905539239</v>
      </c>
      <c r="S1859" t="str">
        <f>"9781907830235"</f>
        <v>9781907830235</v>
      </c>
      <c r="T1859">
        <v>764478735</v>
      </c>
    </row>
    <row r="1860" spans="1:20" x14ac:dyDescent="0.25">
      <c r="A1860">
        <v>400946</v>
      </c>
      <c r="B1860" t="s">
        <v>9153</v>
      </c>
      <c r="C1860" t="s">
        <v>9154</v>
      </c>
      <c r="D1860" t="s">
        <v>9094</v>
      </c>
      <c r="E1860" t="s">
        <v>9095</v>
      </c>
      <c r="F1860">
        <v>2007</v>
      </c>
      <c r="G1860" t="s">
        <v>7399</v>
      </c>
      <c r="H1860" t="s">
        <v>9155</v>
      </c>
      <c r="I1860" t="s">
        <v>9156</v>
      </c>
      <c r="J1860" t="s">
        <v>26</v>
      </c>
      <c r="K1860" t="s">
        <v>27</v>
      </c>
      <c r="L1860" t="b">
        <v>1</v>
      </c>
      <c r="M1860" t="s">
        <v>9157</v>
      </c>
      <c r="N1860" t="str">
        <f>"618.9760472"</f>
        <v>618.9760472</v>
      </c>
      <c r="P1860" t="b">
        <v>0</v>
      </c>
      <c r="R1860" t="str">
        <f>"9781905539222"</f>
        <v>9781905539222</v>
      </c>
      <c r="S1860" t="str">
        <f>"9781907830228"</f>
        <v>9781907830228</v>
      </c>
      <c r="T1860">
        <v>726825854</v>
      </c>
    </row>
    <row r="1861" spans="1:20" x14ac:dyDescent="0.25">
      <c r="A1861">
        <v>400944</v>
      </c>
      <c r="B1861" t="s">
        <v>9158</v>
      </c>
      <c r="D1861" t="s">
        <v>9094</v>
      </c>
      <c r="E1861" t="s">
        <v>9095</v>
      </c>
      <c r="F1861">
        <v>2009</v>
      </c>
      <c r="G1861" t="s">
        <v>9159</v>
      </c>
      <c r="H1861" t="s">
        <v>9160</v>
      </c>
      <c r="I1861" t="s">
        <v>9161</v>
      </c>
      <c r="J1861" t="s">
        <v>26</v>
      </c>
      <c r="K1861" t="s">
        <v>27</v>
      </c>
      <c r="L1861" t="b">
        <v>1</v>
      </c>
      <c r="M1861" t="s">
        <v>9162</v>
      </c>
      <c r="N1861" t="str">
        <f>"362.1072"</f>
        <v>362.1072</v>
      </c>
      <c r="P1861" t="b">
        <v>0</v>
      </c>
      <c r="R1861" t="str">
        <f>"9781905539208"</f>
        <v>9781905539208</v>
      </c>
      <c r="S1861" t="str">
        <f>"9781907830204"</f>
        <v>9781907830204</v>
      </c>
      <c r="T1861">
        <v>666919097</v>
      </c>
    </row>
    <row r="1862" spans="1:20" x14ac:dyDescent="0.25">
      <c r="A1862">
        <v>400943</v>
      </c>
      <c r="B1862" t="s">
        <v>9163</v>
      </c>
      <c r="C1862" t="s">
        <v>9164</v>
      </c>
      <c r="D1862" t="s">
        <v>9094</v>
      </c>
      <c r="E1862" t="s">
        <v>9095</v>
      </c>
      <c r="F1862">
        <v>2009</v>
      </c>
      <c r="G1862" t="s">
        <v>8238</v>
      </c>
      <c r="H1862" t="s">
        <v>9165</v>
      </c>
      <c r="I1862" t="s">
        <v>9166</v>
      </c>
      <c r="J1862" t="s">
        <v>26</v>
      </c>
      <c r="K1862" t="s">
        <v>27</v>
      </c>
      <c r="L1862" t="b">
        <v>1</v>
      </c>
      <c r="M1862" t="s">
        <v>9167</v>
      </c>
      <c r="N1862" t="str">
        <f>"617.7"</f>
        <v>617.7</v>
      </c>
      <c r="P1862" t="b">
        <v>0</v>
      </c>
      <c r="R1862" t="str">
        <f>"9781905539178"</f>
        <v>9781905539178</v>
      </c>
      <c r="S1862" t="str">
        <f>"9781907830174"</f>
        <v>9781907830174</v>
      </c>
      <c r="T1862">
        <v>726825870</v>
      </c>
    </row>
    <row r="1863" spans="1:20" x14ac:dyDescent="0.25">
      <c r="A1863">
        <v>400942</v>
      </c>
      <c r="B1863" t="s">
        <v>9168</v>
      </c>
      <c r="C1863" t="s">
        <v>9169</v>
      </c>
      <c r="D1863" t="s">
        <v>9094</v>
      </c>
      <c r="E1863" t="s">
        <v>9095</v>
      </c>
      <c r="F1863">
        <v>2008</v>
      </c>
      <c r="G1863" t="s">
        <v>9170</v>
      </c>
      <c r="H1863" t="s">
        <v>9171</v>
      </c>
      <c r="I1863" t="s">
        <v>9172</v>
      </c>
      <c r="J1863" t="s">
        <v>26</v>
      </c>
      <c r="K1863" t="s">
        <v>27</v>
      </c>
      <c r="L1863" t="b">
        <v>1</v>
      </c>
      <c r="M1863" t="s">
        <v>9173</v>
      </c>
      <c r="N1863" t="str">
        <f>"616.044 22 22"</f>
        <v>616.044 22 22</v>
      </c>
      <c r="P1863" t="b">
        <v>0</v>
      </c>
      <c r="R1863" t="str">
        <f>"9781905539154"</f>
        <v>9781905539154</v>
      </c>
      <c r="S1863" t="str">
        <f>"9781907830150"</f>
        <v>9781907830150</v>
      </c>
      <c r="T1863">
        <v>432429072</v>
      </c>
    </row>
    <row r="1864" spans="1:20" x14ac:dyDescent="0.25">
      <c r="A1864">
        <v>400941</v>
      </c>
      <c r="B1864" t="s">
        <v>9174</v>
      </c>
      <c r="C1864" t="s">
        <v>9175</v>
      </c>
      <c r="D1864" t="s">
        <v>9094</v>
      </c>
      <c r="E1864" t="s">
        <v>9095</v>
      </c>
      <c r="F1864">
        <v>2006</v>
      </c>
      <c r="G1864" t="s">
        <v>9176</v>
      </c>
      <c r="H1864" t="s">
        <v>9177</v>
      </c>
      <c r="I1864" t="s">
        <v>9178</v>
      </c>
      <c r="J1864" t="s">
        <v>26</v>
      </c>
      <c r="K1864" t="s">
        <v>27</v>
      </c>
      <c r="L1864" t="b">
        <v>1</v>
      </c>
      <c r="M1864" t="s">
        <v>9107</v>
      </c>
      <c r="N1864" t="str">
        <f>"617.5807572"</f>
        <v>617.5807572</v>
      </c>
      <c r="P1864" t="b">
        <v>0</v>
      </c>
      <c r="R1864" t="str">
        <f>"9781905539130"</f>
        <v>9781905539130</v>
      </c>
      <c r="S1864" t="str">
        <f>"9781907830136"</f>
        <v>9781907830136</v>
      </c>
      <c r="T1864">
        <v>666996741</v>
      </c>
    </row>
    <row r="1865" spans="1:20" x14ac:dyDescent="0.25">
      <c r="A1865">
        <v>400940</v>
      </c>
      <c r="B1865" t="s">
        <v>9179</v>
      </c>
      <c r="D1865" t="s">
        <v>9094</v>
      </c>
      <c r="E1865" t="s">
        <v>9095</v>
      </c>
      <c r="F1865">
        <v>2007</v>
      </c>
      <c r="G1865" t="s">
        <v>9180</v>
      </c>
      <c r="H1865" t="s">
        <v>9181</v>
      </c>
      <c r="I1865" t="s">
        <v>9182</v>
      </c>
      <c r="J1865" t="s">
        <v>26</v>
      </c>
      <c r="K1865" t="s">
        <v>27</v>
      </c>
      <c r="L1865" t="b">
        <v>1</v>
      </c>
      <c r="M1865" t="s">
        <v>9183</v>
      </c>
      <c r="N1865" t="str">
        <f>"610.73069"</f>
        <v>610.73069</v>
      </c>
      <c r="P1865" t="b">
        <v>0</v>
      </c>
      <c r="R1865" t="str">
        <f>"9781905539123"</f>
        <v>9781905539123</v>
      </c>
      <c r="S1865" t="str">
        <f>"9781907830129"</f>
        <v>9781907830129</v>
      </c>
      <c r="T1865">
        <v>666939779</v>
      </c>
    </row>
    <row r="1866" spans="1:20" x14ac:dyDescent="0.25">
      <c r="A1866">
        <v>400939</v>
      </c>
      <c r="B1866" t="s">
        <v>9184</v>
      </c>
      <c r="C1866" t="s">
        <v>9185</v>
      </c>
      <c r="D1866" t="s">
        <v>9094</v>
      </c>
      <c r="E1866" t="s">
        <v>9095</v>
      </c>
      <c r="F1866">
        <v>2007</v>
      </c>
      <c r="G1866" t="s">
        <v>9186</v>
      </c>
      <c r="H1866" t="s">
        <v>9187</v>
      </c>
      <c r="I1866" t="s">
        <v>9188</v>
      </c>
      <c r="J1866" t="s">
        <v>26</v>
      </c>
      <c r="K1866" t="s">
        <v>27</v>
      </c>
      <c r="L1866" t="b">
        <v>1</v>
      </c>
      <c r="M1866" t="s">
        <v>9189</v>
      </c>
      <c r="N1866" t="str">
        <f>"618.200835"</f>
        <v>618.200835</v>
      </c>
      <c r="P1866" t="b">
        <v>0</v>
      </c>
      <c r="R1866" t="str">
        <f>"9781905539116"</f>
        <v>9781905539116</v>
      </c>
      <c r="S1866" t="str">
        <f>"9781907830112"</f>
        <v>9781907830112</v>
      </c>
      <c r="T1866">
        <v>759865934</v>
      </c>
    </row>
    <row r="1867" spans="1:20" x14ac:dyDescent="0.25">
      <c r="A1867">
        <v>400938</v>
      </c>
      <c r="B1867" t="s">
        <v>9190</v>
      </c>
      <c r="D1867" t="s">
        <v>9094</v>
      </c>
      <c r="E1867" t="s">
        <v>9095</v>
      </c>
      <c r="F1867">
        <v>2007</v>
      </c>
      <c r="G1867" t="s">
        <v>7429</v>
      </c>
      <c r="H1867" t="s">
        <v>9191</v>
      </c>
      <c r="I1867" t="s">
        <v>9192</v>
      </c>
      <c r="J1867" t="s">
        <v>26</v>
      </c>
      <c r="K1867" t="s">
        <v>27</v>
      </c>
      <c r="L1867" t="b">
        <v>1</v>
      </c>
      <c r="M1867" t="s">
        <v>9193</v>
      </c>
      <c r="N1867" t="str">
        <f>"616.7061"</f>
        <v>616.7061</v>
      </c>
      <c r="P1867" t="b">
        <v>0</v>
      </c>
      <c r="R1867" t="str">
        <f>"9781905539093"</f>
        <v>9781905539093</v>
      </c>
      <c r="S1867" t="str">
        <f>"9781907830099"</f>
        <v>9781907830099</v>
      </c>
      <c r="T1867">
        <v>761928344</v>
      </c>
    </row>
    <row r="1868" spans="1:20" x14ac:dyDescent="0.25">
      <c r="A1868">
        <v>400937</v>
      </c>
      <c r="B1868" t="s">
        <v>9194</v>
      </c>
      <c r="C1868" t="s">
        <v>9195</v>
      </c>
      <c r="D1868" t="s">
        <v>9094</v>
      </c>
      <c r="E1868" t="s">
        <v>9095</v>
      </c>
      <c r="F1868">
        <v>2008</v>
      </c>
      <c r="G1868" t="s">
        <v>8238</v>
      </c>
      <c r="H1868" t="s">
        <v>9196</v>
      </c>
      <c r="I1868" t="s">
        <v>9197</v>
      </c>
      <c r="J1868" t="s">
        <v>26</v>
      </c>
      <c r="K1868" t="s">
        <v>27</v>
      </c>
      <c r="L1868" t="b">
        <v>1</v>
      </c>
      <c r="M1868" t="s">
        <v>9198</v>
      </c>
      <c r="N1868" t="str">
        <f>"617.713"</f>
        <v>617.713</v>
      </c>
      <c r="P1868" t="b">
        <v>0</v>
      </c>
      <c r="R1868" t="str">
        <f>"9781905539086"</f>
        <v>9781905539086</v>
      </c>
      <c r="S1868" t="str">
        <f>"9781907830082"</f>
        <v>9781907830082</v>
      </c>
      <c r="T1868">
        <v>726825875</v>
      </c>
    </row>
    <row r="1869" spans="1:20" x14ac:dyDescent="0.25">
      <c r="A1869">
        <v>400936</v>
      </c>
      <c r="B1869" t="s">
        <v>9199</v>
      </c>
      <c r="C1869" t="s">
        <v>9200</v>
      </c>
      <c r="D1869" t="s">
        <v>9094</v>
      </c>
      <c r="E1869" t="s">
        <v>9095</v>
      </c>
      <c r="F1869">
        <v>2009</v>
      </c>
      <c r="G1869" t="s">
        <v>9201</v>
      </c>
      <c r="H1869" t="s">
        <v>9202</v>
      </c>
      <c r="I1869" t="s">
        <v>9203</v>
      </c>
      <c r="J1869" t="s">
        <v>26</v>
      </c>
      <c r="K1869" t="s">
        <v>27</v>
      </c>
      <c r="L1869" t="b">
        <v>1</v>
      </c>
      <c r="M1869" t="s">
        <v>9204</v>
      </c>
      <c r="N1869" t="str">
        <f>"616.692"</f>
        <v>616.692</v>
      </c>
      <c r="P1869" t="b">
        <v>0</v>
      </c>
      <c r="R1869" t="str">
        <f>"9781905539079"</f>
        <v>9781905539079</v>
      </c>
      <c r="S1869" t="str">
        <f>"9781907830075"</f>
        <v>9781907830075</v>
      </c>
      <c r="T1869">
        <v>666939745</v>
      </c>
    </row>
    <row r="1870" spans="1:20" x14ac:dyDescent="0.25">
      <c r="A1870">
        <v>400935</v>
      </c>
      <c r="B1870" t="s">
        <v>9205</v>
      </c>
      <c r="C1870" t="s">
        <v>9206</v>
      </c>
      <c r="D1870" t="s">
        <v>9094</v>
      </c>
      <c r="E1870" t="s">
        <v>9095</v>
      </c>
      <c r="F1870">
        <v>2007</v>
      </c>
      <c r="G1870" t="s">
        <v>9207</v>
      </c>
      <c r="H1870" t="s">
        <v>9208</v>
      </c>
      <c r="I1870" t="s">
        <v>9209</v>
      </c>
      <c r="J1870" t="s">
        <v>26</v>
      </c>
      <c r="K1870" t="s">
        <v>27</v>
      </c>
      <c r="L1870" t="b">
        <v>1</v>
      </c>
      <c r="M1870" t="s">
        <v>9210</v>
      </c>
      <c r="N1870" t="str">
        <f>"610.733"</f>
        <v>610.733</v>
      </c>
      <c r="P1870" t="b">
        <v>0</v>
      </c>
      <c r="R1870" t="str">
        <f>"9781905539062"</f>
        <v>9781905539062</v>
      </c>
      <c r="S1870" t="str">
        <f>"9781907830068"</f>
        <v>9781907830068</v>
      </c>
      <c r="T1870">
        <v>761929541</v>
      </c>
    </row>
    <row r="1871" spans="1:20" x14ac:dyDescent="0.25">
      <c r="A1871">
        <v>400934</v>
      </c>
      <c r="B1871" t="s">
        <v>9211</v>
      </c>
      <c r="D1871" t="s">
        <v>9094</v>
      </c>
      <c r="E1871" t="s">
        <v>9095</v>
      </c>
      <c r="F1871">
        <v>2008</v>
      </c>
      <c r="G1871" t="s">
        <v>9212</v>
      </c>
      <c r="H1871" t="s">
        <v>9213</v>
      </c>
      <c r="I1871" t="s">
        <v>9214</v>
      </c>
      <c r="J1871" t="s">
        <v>26</v>
      </c>
      <c r="K1871" t="s">
        <v>27</v>
      </c>
      <c r="L1871" t="b">
        <v>1</v>
      </c>
      <c r="M1871" t="s">
        <v>9215</v>
      </c>
      <c r="N1871" t="str">
        <f>"613.20846"</f>
        <v>613.20846</v>
      </c>
      <c r="O1871" t="s">
        <v>9216</v>
      </c>
      <c r="P1871" t="b">
        <v>0</v>
      </c>
      <c r="R1871" t="str">
        <f>"9781905539055"</f>
        <v>9781905539055</v>
      </c>
      <c r="S1871" t="str">
        <f>"9781907830051"</f>
        <v>9781907830051</v>
      </c>
      <c r="T1871">
        <v>761930883</v>
      </c>
    </row>
    <row r="1872" spans="1:20" x14ac:dyDescent="0.25">
      <c r="A1872">
        <v>400933</v>
      </c>
      <c r="B1872" t="s">
        <v>9217</v>
      </c>
      <c r="C1872" t="s">
        <v>9109</v>
      </c>
      <c r="D1872" t="s">
        <v>9094</v>
      </c>
      <c r="E1872" t="s">
        <v>9095</v>
      </c>
      <c r="F1872">
        <v>2008</v>
      </c>
      <c r="G1872" t="s">
        <v>9218</v>
      </c>
      <c r="H1872" t="s">
        <v>9219</v>
      </c>
      <c r="I1872" t="s">
        <v>9220</v>
      </c>
      <c r="J1872" t="s">
        <v>26</v>
      </c>
      <c r="K1872" t="s">
        <v>27</v>
      </c>
      <c r="L1872" t="b">
        <v>1</v>
      </c>
      <c r="M1872" t="s">
        <v>9221</v>
      </c>
      <c r="N1872" t="str">
        <f>"615.836 22 22 22"</f>
        <v>615.836 22 22 22</v>
      </c>
      <c r="O1872" t="s">
        <v>9114</v>
      </c>
      <c r="P1872" t="b">
        <v>0</v>
      </c>
      <c r="R1872" t="str">
        <f>"9781905539048"</f>
        <v>9781905539048</v>
      </c>
      <c r="S1872" t="str">
        <f>"9781907830044"</f>
        <v>9781907830044</v>
      </c>
      <c r="T1872">
        <v>432996271</v>
      </c>
    </row>
    <row r="1873" spans="1:20" x14ac:dyDescent="0.25">
      <c r="A1873">
        <v>400930</v>
      </c>
      <c r="B1873" t="s">
        <v>9222</v>
      </c>
      <c r="D1873" t="s">
        <v>9094</v>
      </c>
      <c r="E1873" t="s">
        <v>9095</v>
      </c>
      <c r="F1873">
        <v>2006</v>
      </c>
      <c r="G1873" t="s">
        <v>7394</v>
      </c>
      <c r="H1873" t="s">
        <v>9223</v>
      </c>
      <c r="I1873" t="s">
        <v>9224</v>
      </c>
      <c r="J1873" t="s">
        <v>26</v>
      </c>
      <c r="K1873" t="s">
        <v>27</v>
      </c>
      <c r="L1873" t="b">
        <v>1</v>
      </c>
      <c r="M1873" t="s">
        <v>9225</v>
      </c>
      <c r="N1873" t="str">
        <f>"616.120231"</f>
        <v>616.120231</v>
      </c>
      <c r="P1873" t="b">
        <v>0</v>
      </c>
      <c r="R1873" t="str">
        <f>"9781905539000"</f>
        <v>9781905539000</v>
      </c>
      <c r="S1873" t="str">
        <f>"9781907830006"</f>
        <v>9781907830006</v>
      </c>
      <c r="T1873">
        <v>761929553</v>
      </c>
    </row>
    <row r="1874" spans="1:20" x14ac:dyDescent="0.25">
      <c r="A1874">
        <v>400779</v>
      </c>
      <c r="B1874" t="s">
        <v>9226</v>
      </c>
      <c r="C1874" t="s">
        <v>9227</v>
      </c>
      <c r="D1874" t="s">
        <v>2269</v>
      </c>
      <c r="E1874" t="s">
        <v>2269</v>
      </c>
      <c r="F1874">
        <v>2009</v>
      </c>
      <c r="G1874" t="s">
        <v>9228</v>
      </c>
      <c r="H1874" t="s">
        <v>9229</v>
      </c>
      <c r="I1874" t="s">
        <v>9230</v>
      </c>
      <c r="J1874" t="s">
        <v>26</v>
      </c>
      <c r="K1874" t="s">
        <v>27</v>
      </c>
      <c r="L1874" t="b">
        <v>1</v>
      </c>
      <c r="M1874" t="s">
        <v>9231</v>
      </c>
      <c r="N1874" t="str">
        <f>"616.8/4982"</f>
        <v>616.8/4982</v>
      </c>
      <c r="O1874" t="s">
        <v>9232</v>
      </c>
      <c r="P1874" t="b">
        <v>0</v>
      </c>
      <c r="Q1874" t="b">
        <v>0</v>
      </c>
      <c r="R1874" t="str">
        <f>"9781607419747"</f>
        <v>9781607419747</v>
      </c>
      <c r="S1874" t="str">
        <f>"9781619422193"</f>
        <v>9781619422193</v>
      </c>
      <c r="T1874">
        <v>767732118</v>
      </c>
    </row>
    <row r="1875" spans="1:20" x14ac:dyDescent="0.25">
      <c r="A1875">
        <v>400503</v>
      </c>
      <c r="B1875" t="s">
        <v>9233</v>
      </c>
      <c r="D1875" t="s">
        <v>8274</v>
      </c>
      <c r="E1875" t="s">
        <v>8275</v>
      </c>
      <c r="F1875">
        <v>2009</v>
      </c>
      <c r="G1875" t="s">
        <v>7394</v>
      </c>
      <c r="H1875" t="s">
        <v>9234</v>
      </c>
      <c r="I1875" t="s">
        <v>9235</v>
      </c>
      <c r="J1875" t="s">
        <v>26</v>
      </c>
      <c r="K1875" t="s">
        <v>27</v>
      </c>
      <c r="L1875" t="b">
        <v>1</v>
      </c>
      <c r="M1875" t="s">
        <v>9236</v>
      </c>
      <c r="N1875" t="str">
        <f>"616.12075"</f>
        <v>616.12075</v>
      </c>
      <c r="P1875" t="b">
        <v>0</v>
      </c>
      <c r="R1875" t="str">
        <f>"9781607950233"</f>
        <v>9781607950233</v>
      </c>
      <c r="S1875" t="str">
        <f>"9781607951308"</f>
        <v>9781607951308</v>
      </c>
      <c r="T1875">
        <v>680621299</v>
      </c>
    </row>
    <row r="1876" spans="1:20" x14ac:dyDescent="0.25">
      <c r="A1876">
        <v>400502</v>
      </c>
      <c r="B1876" t="s">
        <v>9237</v>
      </c>
      <c r="D1876" t="s">
        <v>8274</v>
      </c>
      <c r="E1876" t="s">
        <v>8275</v>
      </c>
      <c r="F1876">
        <v>2009</v>
      </c>
      <c r="G1876" t="s">
        <v>8669</v>
      </c>
      <c r="H1876" t="s">
        <v>9238</v>
      </c>
      <c r="I1876" t="s">
        <v>9239</v>
      </c>
      <c r="J1876" t="s">
        <v>26</v>
      </c>
      <c r="K1876" t="s">
        <v>27</v>
      </c>
      <c r="L1876" t="b">
        <v>1</v>
      </c>
      <c r="M1876" t="s">
        <v>9240</v>
      </c>
      <c r="N1876" t="str">
        <f>"616.99461"</f>
        <v>616.99461</v>
      </c>
      <c r="P1876" t="b">
        <v>0</v>
      </c>
      <c r="R1876" t="str">
        <f>"9781607950035"</f>
        <v>9781607950035</v>
      </c>
      <c r="S1876" t="str">
        <f>"9781607951261"</f>
        <v>9781607951261</v>
      </c>
      <c r="T1876">
        <v>767671161</v>
      </c>
    </row>
    <row r="1877" spans="1:20" x14ac:dyDescent="0.25">
      <c r="A1877">
        <v>400501</v>
      </c>
      <c r="B1877" t="s">
        <v>9241</v>
      </c>
      <c r="D1877" t="s">
        <v>8274</v>
      </c>
      <c r="E1877" t="s">
        <v>8275</v>
      </c>
      <c r="F1877">
        <v>2009</v>
      </c>
      <c r="G1877" t="s">
        <v>9242</v>
      </c>
      <c r="H1877" t="s">
        <v>9243</v>
      </c>
      <c r="I1877" t="s">
        <v>5886</v>
      </c>
      <c r="J1877" t="s">
        <v>26</v>
      </c>
      <c r="K1877" t="s">
        <v>86</v>
      </c>
      <c r="L1877" t="b">
        <v>1</v>
      </c>
      <c r="M1877" t="s">
        <v>9244</v>
      </c>
      <c r="N1877" t="str">
        <f>"614.4"</f>
        <v>614.4</v>
      </c>
      <c r="O1877" t="s">
        <v>8710</v>
      </c>
      <c r="P1877" t="b">
        <v>0</v>
      </c>
      <c r="R1877" t="str">
        <f>"9781607950226"</f>
        <v>9781607950226</v>
      </c>
      <c r="S1877" t="str">
        <f>"9781607951315"</f>
        <v>9781607951315</v>
      </c>
      <c r="T1877">
        <v>768349536</v>
      </c>
    </row>
    <row r="1878" spans="1:20" x14ac:dyDescent="0.25">
      <c r="A1878">
        <v>400500</v>
      </c>
      <c r="B1878" t="s">
        <v>9245</v>
      </c>
      <c r="D1878" t="s">
        <v>8274</v>
      </c>
      <c r="E1878" t="s">
        <v>8275</v>
      </c>
      <c r="F1878">
        <v>2009</v>
      </c>
      <c r="G1878" t="s">
        <v>7627</v>
      </c>
      <c r="H1878" t="s">
        <v>9246</v>
      </c>
      <c r="I1878" t="s">
        <v>9247</v>
      </c>
      <c r="J1878" t="s">
        <v>26</v>
      </c>
      <c r="K1878" t="s">
        <v>27</v>
      </c>
      <c r="L1878" t="b">
        <v>1</v>
      </c>
      <c r="M1878" t="s">
        <v>9248</v>
      </c>
      <c r="N1878" t="str">
        <f>"616.85/3"</f>
        <v>616.85/3</v>
      </c>
      <c r="P1878" t="b">
        <v>0</v>
      </c>
      <c r="R1878" t="str">
        <f>"9781607950042"</f>
        <v>9781607950042</v>
      </c>
      <c r="S1878" t="str">
        <f>"9781607951247"</f>
        <v>9781607951247</v>
      </c>
      <c r="T1878">
        <v>680621298</v>
      </c>
    </row>
    <row r="1879" spans="1:20" x14ac:dyDescent="0.25">
      <c r="A1879">
        <v>400498</v>
      </c>
      <c r="B1879" t="s">
        <v>9249</v>
      </c>
      <c r="D1879" t="s">
        <v>8274</v>
      </c>
      <c r="E1879" t="s">
        <v>8275</v>
      </c>
      <c r="F1879">
        <v>2009</v>
      </c>
      <c r="G1879" t="s">
        <v>9250</v>
      </c>
      <c r="H1879" t="s">
        <v>9251</v>
      </c>
      <c r="I1879" t="s">
        <v>9252</v>
      </c>
      <c r="J1879" t="s">
        <v>26</v>
      </c>
      <c r="K1879" t="s">
        <v>27</v>
      </c>
      <c r="L1879" t="b">
        <v>1</v>
      </c>
      <c r="M1879" t="s">
        <v>9253</v>
      </c>
      <c r="N1879" t="str">
        <f>"617.692"</f>
        <v>617.692</v>
      </c>
      <c r="P1879" t="b">
        <v>0</v>
      </c>
      <c r="R1879" t="str">
        <f>"9781607950257"</f>
        <v>9781607950257</v>
      </c>
      <c r="S1879" t="str">
        <f>"9781607950998"</f>
        <v>9781607950998</v>
      </c>
      <c r="T1879">
        <v>779849462</v>
      </c>
    </row>
    <row r="1880" spans="1:20" x14ac:dyDescent="0.25">
      <c r="A1880">
        <v>400497</v>
      </c>
      <c r="B1880" t="s">
        <v>9254</v>
      </c>
      <c r="D1880" t="s">
        <v>8274</v>
      </c>
      <c r="E1880" t="s">
        <v>8275</v>
      </c>
      <c r="F1880">
        <v>2008</v>
      </c>
      <c r="G1880" t="s">
        <v>9255</v>
      </c>
      <c r="H1880" t="s">
        <v>9256</v>
      </c>
      <c r="I1880" t="s">
        <v>5269</v>
      </c>
      <c r="J1880" t="s">
        <v>26</v>
      </c>
      <c r="K1880" t="s">
        <v>27</v>
      </c>
      <c r="L1880" t="b">
        <v>1</v>
      </c>
      <c r="M1880" t="s">
        <v>9257</v>
      </c>
      <c r="N1880" t="str">
        <f>"617.6342"</f>
        <v>617.6342</v>
      </c>
      <c r="P1880" t="b">
        <v>0</v>
      </c>
      <c r="R1880" t="str">
        <f>"9781550093339"</f>
        <v>9781550093339</v>
      </c>
      <c r="S1880" t="str">
        <f>"9781607950684"</f>
        <v>9781607950684</v>
      </c>
      <c r="T1880">
        <v>673039123</v>
      </c>
    </row>
    <row r="1881" spans="1:20" x14ac:dyDescent="0.25">
      <c r="A1881">
        <v>400494</v>
      </c>
      <c r="B1881" t="s">
        <v>9258</v>
      </c>
      <c r="D1881" t="s">
        <v>8274</v>
      </c>
      <c r="E1881" t="s">
        <v>8275</v>
      </c>
      <c r="F1881">
        <v>2008</v>
      </c>
      <c r="G1881" t="s">
        <v>8690</v>
      </c>
      <c r="H1881" t="s">
        <v>9259</v>
      </c>
      <c r="I1881" t="s">
        <v>9260</v>
      </c>
      <c r="J1881" t="s">
        <v>26</v>
      </c>
      <c r="K1881" t="s">
        <v>27</v>
      </c>
      <c r="L1881" t="b">
        <v>1</v>
      </c>
      <c r="M1881" t="s">
        <v>9261</v>
      </c>
      <c r="N1881" t="str">
        <f>"616.31"</f>
        <v>616.31</v>
      </c>
      <c r="P1881" t="b">
        <v>0</v>
      </c>
      <c r="R1881" t="str">
        <f>"9781550093452"</f>
        <v>9781550093452</v>
      </c>
      <c r="S1881" t="str">
        <f>"9781607950608"</f>
        <v>9781607950608</v>
      </c>
      <c r="T1881">
        <v>680621296</v>
      </c>
    </row>
    <row r="1882" spans="1:20" x14ac:dyDescent="0.25">
      <c r="A1882">
        <v>399878</v>
      </c>
      <c r="B1882" t="s">
        <v>9262</v>
      </c>
      <c r="C1882" t="s">
        <v>9263</v>
      </c>
      <c r="D1882" t="s">
        <v>9264</v>
      </c>
      <c r="E1882" t="s">
        <v>9265</v>
      </c>
      <c r="F1882">
        <v>1997</v>
      </c>
      <c r="G1882" t="s">
        <v>9266</v>
      </c>
      <c r="H1882" t="s">
        <v>9267</v>
      </c>
      <c r="I1882" t="s">
        <v>9268</v>
      </c>
      <c r="J1882" t="s">
        <v>26</v>
      </c>
      <c r="K1882" t="s">
        <v>27</v>
      </c>
      <c r="L1882" t="b">
        <v>1</v>
      </c>
      <c r="M1882" t="s">
        <v>9269</v>
      </c>
      <c r="N1882" t="str">
        <f>"616.89/14"</f>
        <v>616.89/14</v>
      </c>
      <c r="P1882" t="b">
        <v>0</v>
      </c>
      <c r="R1882" t="str">
        <f>"9780944435427"</f>
        <v>9780944435427</v>
      </c>
      <c r="S1882" t="str">
        <f>"9781441698759"</f>
        <v>9781441698759</v>
      </c>
      <c r="T1882">
        <v>759209585</v>
      </c>
    </row>
    <row r="1883" spans="1:20" x14ac:dyDescent="0.25">
      <c r="A1883">
        <v>399001</v>
      </c>
      <c r="B1883" t="s">
        <v>9270</v>
      </c>
      <c r="C1883" t="s">
        <v>9271</v>
      </c>
      <c r="D1883" t="s">
        <v>9272</v>
      </c>
      <c r="E1883" t="s">
        <v>9273</v>
      </c>
      <c r="F1883">
        <v>2009</v>
      </c>
      <c r="G1883" t="s">
        <v>9274</v>
      </c>
      <c r="H1883" t="s">
        <v>9275</v>
      </c>
      <c r="I1883" t="s">
        <v>9276</v>
      </c>
      <c r="J1883" t="s">
        <v>26</v>
      </c>
      <c r="K1883" t="s">
        <v>27</v>
      </c>
      <c r="L1883" t="b">
        <v>1</v>
      </c>
      <c r="M1883" t="s">
        <v>9277</v>
      </c>
      <c r="N1883" t="str">
        <f>"363.377"</f>
        <v>363.377</v>
      </c>
      <c r="P1883" t="b">
        <v>0</v>
      </c>
      <c r="R1883" t="str">
        <f>"9781854186034"</f>
        <v>9781854186034</v>
      </c>
      <c r="S1883" t="str">
        <f>"9781854186805"</f>
        <v>9781854186805</v>
      </c>
      <c r="T1883">
        <v>758384368</v>
      </c>
    </row>
    <row r="1884" spans="1:20" x14ac:dyDescent="0.25">
      <c r="A1884">
        <v>398991</v>
      </c>
      <c r="B1884" t="s">
        <v>9278</v>
      </c>
      <c r="C1884" t="s">
        <v>9279</v>
      </c>
      <c r="D1884" t="s">
        <v>226</v>
      </c>
      <c r="E1884" t="s">
        <v>226</v>
      </c>
      <c r="F1884">
        <v>2011</v>
      </c>
      <c r="G1884" t="s">
        <v>197</v>
      </c>
      <c r="H1884" t="s">
        <v>9280</v>
      </c>
      <c r="I1884" t="s">
        <v>9281</v>
      </c>
      <c r="J1884" t="s">
        <v>26</v>
      </c>
      <c r="K1884" t="s">
        <v>27</v>
      </c>
      <c r="L1884" t="b">
        <v>1</v>
      </c>
      <c r="M1884" t="s">
        <v>9282</v>
      </c>
      <c r="N1884" t="str">
        <f>"808.1"</f>
        <v>808.1</v>
      </c>
      <c r="P1884" t="b">
        <v>0</v>
      </c>
      <c r="Q1884" t="b">
        <v>0</v>
      </c>
      <c r="R1884" t="str">
        <f>"9780226773872"</f>
        <v>9780226773872</v>
      </c>
      <c r="S1884" t="str">
        <f>"9780226773841"</f>
        <v>9780226773841</v>
      </c>
      <c r="T1884">
        <v>761213354</v>
      </c>
    </row>
    <row r="1885" spans="1:20" x14ac:dyDescent="0.25">
      <c r="A1885">
        <v>398954</v>
      </c>
      <c r="B1885" t="s">
        <v>9283</v>
      </c>
      <c r="C1885" t="s">
        <v>9284</v>
      </c>
      <c r="D1885" t="s">
        <v>1364</v>
      </c>
      <c r="E1885" t="s">
        <v>1364</v>
      </c>
      <c r="F1885">
        <v>2011</v>
      </c>
      <c r="G1885" t="s">
        <v>767</v>
      </c>
      <c r="H1885" t="s">
        <v>9285</v>
      </c>
      <c r="I1885" t="s">
        <v>9286</v>
      </c>
      <c r="J1885" t="s">
        <v>26</v>
      </c>
      <c r="K1885" t="s">
        <v>27</v>
      </c>
      <c r="L1885" t="b">
        <v>1</v>
      </c>
      <c r="M1885" t="s">
        <v>9287</v>
      </c>
      <c r="N1885" t="str">
        <f>"616;616.044"</f>
        <v>616;616.044</v>
      </c>
      <c r="P1885" t="b">
        <v>0</v>
      </c>
      <c r="R1885" t="str">
        <f>"9783110255218"</f>
        <v>9783110255218</v>
      </c>
      <c r="S1885" t="str">
        <f>"9783110255683"</f>
        <v>9783110255683</v>
      </c>
      <c r="T1885">
        <v>757261229</v>
      </c>
    </row>
    <row r="1886" spans="1:20" x14ac:dyDescent="0.25">
      <c r="A1886">
        <v>398851</v>
      </c>
      <c r="B1886" t="s">
        <v>9288</v>
      </c>
      <c r="C1886" t="s">
        <v>9289</v>
      </c>
      <c r="D1886" t="s">
        <v>9290</v>
      </c>
      <c r="E1886" t="s">
        <v>9290</v>
      </c>
      <c r="F1886">
        <v>2011</v>
      </c>
      <c r="G1886" t="s">
        <v>177</v>
      </c>
      <c r="H1886" t="s">
        <v>9291</v>
      </c>
      <c r="I1886" t="s">
        <v>9292</v>
      </c>
      <c r="J1886" t="s">
        <v>26</v>
      </c>
      <c r="K1886" t="s">
        <v>86</v>
      </c>
      <c r="L1886" t="b">
        <v>1</v>
      </c>
      <c r="M1886" t="s">
        <v>9293</v>
      </c>
      <c r="N1886" t="str">
        <f>"781.6409/051"</f>
        <v>781.6409/051</v>
      </c>
      <c r="O1886" t="s">
        <v>9294</v>
      </c>
      <c r="P1886" t="b">
        <v>0</v>
      </c>
      <c r="Q1886" t="b">
        <v>0</v>
      </c>
      <c r="R1886" t="str">
        <f>"9780472117857"</f>
        <v>9780472117857</v>
      </c>
      <c r="S1886" t="str">
        <f>"9780472027736"</f>
        <v>9780472027736</v>
      </c>
      <c r="T1886">
        <v>759398134</v>
      </c>
    </row>
    <row r="1887" spans="1:20" x14ac:dyDescent="0.25">
      <c r="A1887">
        <v>398838</v>
      </c>
      <c r="B1887" t="s">
        <v>9295</v>
      </c>
      <c r="D1887" t="s">
        <v>2269</v>
      </c>
      <c r="E1887" t="s">
        <v>2269</v>
      </c>
      <c r="F1887">
        <v>2009</v>
      </c>
      <c r="G1887" t="s">
        <v>303</v>
      </c>
      <c r="H1887" t="s">
        <v>9296</v>
      </c>
      <c r="I1887" t="s">
        <v>9297</v>
      </c>
      <c r="J1887" t="s">
        <v>26</v>
      </c>
      <c r="K1887" t="s">
        <v>27</v>
      </c>
      <c r="L1887" t="b">
        <v>1</v>
      </c>
      <c r="M1887" t="s">
        <v>9298</v>
      </c>
      <c r="N1887" t="str">
        <f>"662/.92"</f>
        <v>662/.92</v>
      </c>
      <c r="O1887" t="s">
        <v>7355</v>
      </c>
      <c r="P1887" t="b">
        <v>0</v>
      </c>
      <c r="Q1887" t="b">
        <v>0</v>
      </c>
      <c r="R1887" t="str">
        <f>"9781606926666"</f>
        <v>9781606926666</v>
      </c>
      <c r="S1887" t="str">
        <f>"9781613249659"</f>
        <v>9781613249659</v>
      </c>
      <c r="T1887">
        <v>758384518</v>
      </c>
    </row>
    <row r="1888" spans="1:20" x14ac:dyDescent="0.25">
      <c r="A1888">
        <v>398832</v>
      </c>
      <c r="B1888" t="s">
        <v>9299</v>
      </c>
      <c r="D1888" t="s">
        <v>2269</v>
      </c>
      <c r="E1888" t="s">
        <v>2269</v>
      </c>
      <c r="F1888">
        <v>2009</v>
      </c>
      <c r="G1888" t="s">
        <v>9300</v>
      </c>
      <c r="H1888" t="s">
        <v>9301</v>
      </c>
      <c r="I1888" t="s">
        <v>9302</v>
      </c>
      <c r="J1888" t="s">
        <v>26</v>
      </c>
      <c r="K1888" t="s">
        <v>27</v>
      </c>
      <c r="L1888" t="b">
        <v>1</v>
      </c>
      <c r="M1888" t="s">
        <v>9303</v>
      </c>
      <c r="N1888" t="str">
        <f>"616.9"</f>
        <v>616.9</v>
      </c>
      <c r="P1888" t="b">
        <v>0</v>
      </c>
      <c r="Q1888" t="b">
        <v>0</v>
      </c>
      <c r="R1888" t="str">
        <f>"9781606927281"</f>
        <v>9781606927281</v>
      </c>
      <c r="S1888" t="str">
        <f>"9781614700548"</f>
        <v>9781614700548</v>
      </c>
      <c r="T1888">
        <v>758384439</v>
      </c>
    </row>
    <row r="1889" spans="1:20" x14ac:dyDescent="0.25">
      <c r="A1889">
        <v>398831</v>
      </c>
      <c r="B1889" t="s">
        <v>6876</v>
      </c>
      <c r="D1889" t="s">
        <v>2269</v>
      </c>
      <c r="E1889" t="s">
        <v>2269</v>
      </c>
      <c r="F1889">
        <v>2009</v>
      </c>
      <c r="G1889" t="s">
        <v>9304</v>
      </c>
      <c r="H1889" t="s">
        <v>9305</v>
      </c>
      <c r="I1889" t="s">
        <v>9306</v>
      </c>
      <c r="J1889" t="s">
        <v>26</v>
      </c>
      <c r="K1889" t="s">
        <v>27</v>
      </c>
      <c r="L1889" t="b">
        <v>1</v>
      </c>
      <c r="M1889" t="s">
        <v>9307</v>
      </c>
      <c r="N1889" t="str">
        <f>"534.2"</f>
        <v>534.2</v>
      </c>
      <c r="P1889" t="b">
        <v>0</v>
      </c>
      <c r="Q1889" t="b">
        <v>0</v>
      </c>
      <c r="R1889" t="str">
        <f>"9781606928615"</f>
        <v>9781606928615</v>
      </c>
      <c r="S1889" t="str">
        <f>"9781614700531"</f>
        <v>9781614700531</v>
      </c>
      <c r="T1889">
        <v>759180693</v>
      </c>
    </row>
    <row r="1890" spans="1:20" x14ac:dyDescent="0.25">
      <c r="A1890">
        <v>398817</v>
      </c>
      <c r="B1890" t="s">
        <v>9308</v>
      </c>
      <c r="C1890" t="s">
        <v>9309</v>
      </c>
      <c r="D1890" t="s">
        <v>2269</v>
      </c>
      <c r="E1890" t="s">
        <v>2269</v>
      </c>
      <c r="F1890">
        <v>2009</v>
      </c>
      <c r="G1890" t="s">
        <v>3736</v>
      </c>
      <c r="H1890" t="s">
        <v>9310</v>
      </c>
      <c r="I1890" t="s">
        <v>9311</v>
      </c>
      <c r="J1890" t="s">
        <v>26</v>
      </c>
      <c r="K1890" t="s">
        <v>27</v>
      </c>
      <c r="L1890" t="b">
        <v>1</v>
      </c>
      <c r="M1890" t="s">
        <v>9312</v>
      </c>
      <c r="N1890" t="str">
        <f>"523.5/8"</f>
        <v>523.5/8</v>
      </c>
      <c r="P1890" t="b">
        <v>0</v>
      </c>
      <c r="Q1890" t="b">
        <v>0</v>
      </c>
      <c r="R1890" t="str">
        <f>"9781606925720"</f>
        <v>9781606925720</v>
      </c>
      <c r="S1890" t="str">
        <f>"9781613249765"</f>
        <v>9781613249765</v>
      </c>
      <c r="T1890">
        <v>758384460</v>
      </c>
    </row>
    <row r="1891" spans="1:20" x14ac:dyDescent="0.25">
      <c r="A1891">
        <v>398814</v>
      </c>
      <c r="B1891" t="s">
        <v>9313</v>
      </c>
      <c r="C1891" t="s">
        <v>9314</v>
      </c>
      <c r="D1891" t="s">
        <v>2269</v>
      </c>
      <c r="E1891" t="s">
        <v>2269</v>
      </c>
      <c r="F1891">
        <v>2009</v>
      </c>
      <c r="G1891" t="s">
        <v>9212</v>
      </c>
      <c r="H1891" t="s">
        <v>9315</v>
      </c>
      <c r="I1891" t="s">
        <v>9316</v>
      </c>
      <c r="J1891" t="s">
        <v>26</v>
      </c>
      <c r="K1891" t="s">
        <v>27</v>
      </c>
      <c r="L1891" t="b">
        <v>1</v>
      </c>
      <c r="M1891" t="s">
        <v>9317</v>
      </c>
      <c r="N1891" t="str">
        <f>"612.3/99"</f>
        <v>612.3/99</v>
      </c>
      <c r="O1891" t="s">
        <v>9318</v>
      </c>
      <c r="P1891" t="b">
        <v>0</v>
      </c>
      <c r="Q1891" t="b">
        <v>0</v>
      </c>
      <c r="R1891" t="str">
        <f>"9781607418740"</f>
        <v>9781607418740</v>
      </c>
      <c r="S1891" t="str">
        <f>"9781613249703"</f>
        <v>9781613249703</v>
      </c>
      <c r="T1891">
        <v>758387595</v>
      </c>
    </row>
    <row r="1892" spans="1:20" x14ac:dyDescent="0.25">
      <c r="A1892">
        <v>398139</v>
      </c>
      <c r="B1892" t="s">
        <v>9319</v>
      </c>
      <c r="D1892" t="s">
        <v>2238</v>
      </c>
      <c r="E1892" t="s">
        <v>2239</v>
      </c>
      <c r="F1892">
        <v>2011</v>
      </c>
      <c r="G1892" t="s">
        <v>9320</v>
      </c>
      <c r="H1892" t="s">
        <v>9321</v>
      </c>
      <c r="I1892" t="s">
        <v>9322</v>
      </c>
      <c r="J1892" t="s">
        <v>26</v>
      </c>
      <c r="K1892" t="s">
        <v>86</v>
      </c>
      <c r="L1892" t="b">
        <v>1</v>
      </c>
      <c r="M1892" t="s">
        <v>9323</v>
      </c>
      <c r="N1892" t="str">
        <f>"174/.93877"</f>
        <v>174/.93877</v>
      </c>
      <c r="P1892" t="b">
        <v>0</v>
      </c>
      <c r="R1892" t="str">
        <f>"9781409417866"</f>
        <v>9781409417866</v>
      </c>
      <c r="S1892" t="str">
        <f>"9781317141518"</f>
        <v>9781317141518</v>
      </c>
      <c r="T1892">
        <v>726826718</v>
      </c>
    </row>
    <row r="1893" spans="1:20" x14ac:dyDescent="0.25">
      <c r="A1893">
        <v>396022</v>
      </c>
      <c r="B1893" t="s">
        <v>9324</v>
      </c>
      <c r="D1893" t="s">
        <v>2269</v>
      </c>
      <c r="E1893" t="s">
        <v>2269</v>
      </c>
      <c r="F1893">
        <v>2009</v>
      </c>
      <c r="G1893" t="s">
        <v>9325</v>
      </c>
      <c r="H1893" t="s">
        <v>9326</v>
      </c>
      <c r="I1893" t="s">
        <v>9327</v>
      </c>
      <c r="J1893" t="s">
        <v>26</v>
      </c>
      <c r="K1893" t="s">
        <v>27</v>
      </c>
      <c r="L1893" t="b">
        <v>1</v>
      </c>
      <c r="M1893" t="s">
        <v>9328</v>
      </c>
      <c r="N1893" t="str">
        <f>"530.8/1"</f>
        <v>530.8/1</v>
      </c>
      <c r="P1893" t="b">
        <v>0</v>
      </c>
      <c r="Q1893" t="b">
        <v>0</v>
      </c>
      <c r="R1893" t="str">
        <f>"9781606923023"</f>
        <v>9781606923023</v>
      </c>
      <c r="S1893" t="str">
        <f>"9781613246306"</f>
        <v>9781613246306</v>
      </c>
      <c r="T1893">
        <v>758387447</v>
      </c>
    </row>
    <row r="1894" spans="1:20" x14ac:dyDescent="0.25">
      <c r="A1894">
        <v>396021</v>
      </c>
      <c r="B1894" t="s">
        <v>9329</v>
      </c>
      <c r="D1894" t="s">
        <v>2269</v>
      </c>
      <c r="E1894" t="s">
        <v>2269</v>
      </c>
      <c r="F1894">
        <v>2009</v>
      </c>
      <c r="G1894" t="s">
        <v>9330</v>
      </c>
      <c r="H1894" t="s">
        <v>9331</v>
      </c>
      <c r="I1894" t="s">
        <v>9332</v>
      </c>
      <c r="J1894" t="s">
        <v>26</v>
      </c>
      <c r="K1894" t="s">
        <v>27</v>
      </c>
      <c r="L1894" t="b">
        <v>1</v>
      </c>
      <c r="M1894" t="s">
        <v>9333</v>
      </c>
      <c r="N1894" t="str">
        <f>"514/.2242"</f>
        <v>514/.2242</v>
      </c>
      <c r="O1894" t="s">
        <v>9334</v>
      </c>
      <c r="P1894" t="b">
        <v>0</v>
      </c>
      <c r="Q1894" t="b">
        <v>0</v>
      </c>
      <c r="R1894" t="str">
        <f>"9781607410706"</f>
        <v>9781607410706</v>
      </c>
      <c r="S1894" t="str">
        <f>"9781613246290"</f>
        <v>9781613246290</v>
      </c>
      <c r="T1894">
        <v>758384940</v>
      </c>
    </row>
    <row r="1895" spans="1:20" x14ac:dyDescent="0.25">
      <c r="A1895">
        <v>396018</v>
      </c>
      <c r="B1895" t="s">
        <v>9335</v>
      </c>
      <c r="D1895" t="s">
        <v>2269</v>
      </c>
      <c r="E1895" t="s">
        <v>2269</v>
      </c>
      <c r="F1895">
        <v>2009</v>
      </c>
      <c r="G1895" t="s">
        <v>7367</v>
      </c>
      <c r="H1895" t="s">
        <v>9336</v>
      </c>
      <c r="I1895" t="s">
        <v>9337</v>
      </c>
      <c r="J1895" t="s">
        <v>26</v>
      </c>
      <c r="K1895" t="s">
        <v>27</v>
      </c>
      <c r="L1895" t="b">
        <v>1</v>
      </c>
      <c r="M1895" t="s">
        <v>9338</v>
      </c>
      <c r="N1895" t="str">
        <f>"616.3/99"</f>
        <v>616.3/99</v>
      </c>
      <c r="O1895" t="s">
        <v>7360</v>
      </c>
      <c r="P1895" t="b">
        <v>0</v>
      </c>
      <c r="Q1895" t="b">
        <v>0</v>
      </c>
      <c r="R1895" t="str">
        <f>"9781606921685"</f>
        <v>9781606921685</v>
      </c>
      <c r="S1895" t="str">
        <f>"9781613246269"</f>
        <v>9781613246269</v>
      </c>
      <c r="T1895">
        <v>777548908</v>
      </c>
    </row>
    <row r="1896" spans="1:20" x14ac:dyDescent="0.25">
      <c r="A1896">
        <v>395519</v>
      </c>
      <c r="B1896" t="s">
        <v>9339</v>
      </c>
      <c r="C1896" t="s">
        <v>9340</v>
      </c>
      <c r="D1896" t="s">
        <v>131</v>
      </c>
      <c r="E1896" t="s">
        <v>2405</v>
      </c>
      <c r="F1896">
        <v>2010</v>
      </c>
      <c r="G1896" t="s">
        <v>2417</v>
      </c>
      <c r="H1896" t="s">
        <v>9341</v>
      </c>
      <c r="I1896" t="s">
        <v>9342</v>
      </c>
      <c r="J1896" t="s">
        <v>26</v>
      </c>
      <c r="K1896" t="s">
        <v>86</v>
      </c>
      <c r="L1896" t="b">
        <v>1</v>
      </c>
      <c r="M1896" t="s">
        <v>9343</v>
      </c>
      <c r="N1896" t="str">
        <f>"810.9/358735"</f>
        <v>810.9/358735</v>
      </c>
      <c r="P1896" t="b">
        <v>0</v>
      </c>
      <c r="R1896" t="str">
        <f>"9780823230990"</f>
        <v>9780823230990</v>
      </c>
      <c r="S1896" t="str">
        <f>"9780823241156"</f>
        <v>9780823241156</v>
      </c>
      <c r="T1896">
        <v>757486932</v>
      </c>
    </row>
    <row r="1897" spans="1:20" x14ac:dyDescent="0.25">
      <c r="A1897">
        <v>395518</v>
      </c>
      <c r="B1897" t="s">
        <v>9344</v>
      </c>
      <c r="C1897" t="s">
        <v>9345</v>
      </c>
      <c r="D1897" t="s">
        <v>131</v>
      </c>
      <c r="E1897" t="s">
        <v>2405</v>
      </c>
      <c r="F1897">
        <v>2011</v>
      </c>
      <c r="G1897" t="s">
        <v>622</v>
      </c>
      <c r="H1897" t="s">
        <v>9346</v>
      </c>
      <c r="I1897" t="s">
        <v>9347</v>
      </c>
      <c r="J1897" t="s">
        <v>26</v>
      </c>
      <c r="K1897" t="s">
        <v>86</v>
      </c>
      <c r="L1897" t="b">
        <v>1</v>
      </c>
      <c r="M1897" t="s">
        <v>9348</v>
      </c>
      <c r="N1897" t="str">
        <f>"810.9/3526914"</f>
        <v>810.9/3526914</v>
      </c>
      <c r="P1897" t="b">
        <v>0</v>
      </c>
      <c r="R1897" t="str">
        <f>"9780823233557"</f>
        <v>9780823233557</v>
      </c>
      <c r="S1897" t="str">
        <f>"9780823237357"</f>
        <v>9780823237357</v>
      </c>
      <c r="T1897">
        <v>757509379</v>
      </c>
    </row>
    <row r="1898" spans="1:20" x14ac:dyDescent="0.25">
      <c r="A1898">
        <v>395516</v>
      </c>
      <c r="B1898" t="s">
        <v>9349</v>
      </c>
      <c r="C1898" t="s">
        <v>9350</v>
      </c>
      <c r="D1898" t="s">
        <v>131</v>
      </c>
      <c r="E1898" t="s">
        <v>2566</v>
      </c>
      <c r="F1898">
        <v>2011</v>
      </c>
      <c r="G1898" t="s">
        <v>2444</v>
      </c>
      <c r="H1898" t="s">
        <v>9351</v>
      </c>
      <c r="I1898" t="s">
        <v>9352</v>
      </c>
      <c r="J1898" t="s">
        <v>26</v>
      </c>
      <c r="K1898" t="s">
        <v>86</v>
      </c>
      <c r="L1898" t="b">
        <v>1</v>
      </c>
      <c r="M1898" t="s">
        <v>9353</v>
      </c>
      <c r="N1898" t="str">
        <f>"362.73/2"</f>
        <v>362.73/2</v>
      </c>
      <c r="P1898" t="b">
        <v>0</v>
      </c>
      <c r="R1898" t="str">
        <f>"9780823234196"</f>
        <v>9780823234196</v>
      </c>
      <c r="S1898" t="str">
        <f>"9780823234219"</f>
        <v>9780823234219</v>
      </c>
      <c r="T1898">
        <v>757509313</v>
      </c>
    </row>
    <row r="1899" spans="1:20" x14ac:dyDescent="0.25">
      <c r="A1899">
        <v>395515</v>
      </c>
      <c r="B1899" t="s">
        <v>9354</v>
      </c>
      <c r="C1899" t="s">
        <v>9355</v>
      </c>
      <c r="D1899" t="s">
        <v>131</v>
      </c>
      <c r="E1899" t="s">
        <v>2566</v>
      </c>
      <c r="F1899">
        <v>2011</v>
      </c>
      <c r="G1899" t="s">
        <v>6624</v>
      </c>
      <c r="H1899" t="s">
        <v>9356</v>
      </c>
      <c r="I1899" t="s">
        <v>9357</v>
      </c>
      <c r="J1899" t="s">
        <v>26</v>
      </c>
      <c r="K1899" t="s">
        <v>86</v>
      </c>
      <c r="L1899" t="b">
        <v>1</v>
      </c>
      <c r="M1899" t="s">
        <v>9358</v>
      </c>
      <c r="N1899" t="str">
        <f>"373.110092;B"</f>
        <v>373.110092;B</v>
      </c>
      <c r="P1899" t="b">
        <v>0</v>
      </c>
      <c r="R1899" t="str">
        <f>"9780823234165"</f>
        <v>9780823234165</v>
      </c>
      <c r="S1899" t="str">
        <f>"9780823234189"</f>
        <v>9780823234189</v>
      </c>
      <c r="T1899">
        <v>732958451</v>
      </c>
    </row>
    <row r="1900" spans="1:20" x14ac:dyDescent="0.25">
      <c r="A1900">
        <v>395514</v>
      </c>
      <c r="B1900" t="s">
        <v>9359</v>
      </c>
      <c r="C1900" t="s">
        <v>9360</v>
      </c>
      <c r="D1900" t="s">
        <v>131</v>
      </c>
      <c r="E1900" t="s">
        <v>2439</v>
      </c>
      <c r="F1900">
        <v>2010</v>
      </c>
      <c r="G1900" t="s">
        <v>2400</v>
      </c>
      <c r="H1900" t="s">
        <v>9361</v>
      </c>
      <c r="I1900" t="s">
        <v>9362</v>
      </c>
      <c r="J1900" t="s">
        <v>26</v>
      </c>
      <c r="K1900" t="s">
        <v>86</v>
      </c>
      <c r="L1900" t="b">
        <v>1</v>
      </c>
      <c r="M1900" t="s">
        <v>9363</v>
      </c>
      <c r="N1900" t="str">
        <f>"190"</f>
        <v>190</v>
      </c>
      <c r="P1900" t="b">
        <v>0</v>
      </c>
      <c r="R1900" t="str">
        <f>"9780823232987"</f>
        <v>9780823232987</v>
      </c>
      <c r="S1900" t="str">
        <f>"9780823238392"</f>
        <v>9780823238392</v>
      </c>
      <c r="T1900">
        <v>757486941</v>
      </c>
    </row>
    <row r="1901" spans="1:20" x14ac:dyDescent="0.25">
      <c r="A1901">
        <v>395513</v>
      </c>
      <c r="B1901" t="s">
        <v>9364</v>
      </c>
      <c r="C1901" t="s">
        <v>9365</v>
      </c>
      <c r="D1901" t="s">
        <v>131</v>
      </c>
      <c r="E1901" t="s">
        <v>2389</v>
      </c>
      <c r="F1901">
        <v>2011</v>
      </c>
      <c r="G1901" t="s">
        <v>8927</v>
      </c>
      <c r="H1901" t="s">
        <v>9366</v>
      </c>
      <c r="I1901" t="s">
        <v>9367</v>
      </c>
      <c r="J1901" t="s">
        <v>26</v>
      </c>
      <c r="K1901" t="s">
        <v>86</v>
      </c>
      <c r="L1901" t="b">
        <v>1</v>
      </c>
      <c r="M1901" t="s">
        <v>9368</v>
      </c>
      <c r="N1901" t="str">
        <f>"323.09747/109045"</f>
        <v>323.09747/109045</v>
      </c>
      <c r="P1901" t="b">
        <v>0</v>
      </c>
      <c r="R1901" t="str">
        <f>"9780823232895"</f>
        <v>9780823232895</v>
      </c>
      <c r="S1901" t="str">
        <f>"9780823237463"</f>
        <v>9780823237463</v>
      </c>
      <c r="T1901">
        <v>757509352</v>
      </c>
    </row>
    <row r="1902" spans="1:20" x14ac:dyDescent="0.25">
      <c r="A1902">
        <v>395512</v>
      </c>
      <c r="B1902" t="s">
        <v>9369</v>
      </c>
      <c r="C1902" t="s">
        <v>9370</v>
      </c>
      <c r="D1902" t="s">
        <v>131</v>
      </c>
      <c r="E1902" t="s">
        <v>2405</v>
      </c>
      <c r="F1902">
        <v>2010</v>
      </c>
      <c r="G1902" t="s">
        <v>2417</v>
      </c>
      <c r="H1902" t="s">
        <v>9371</v>
      </c>
      <c r="I1902" t="s">
        <v>9372</v>
      </c>
      <c r="J1902" t="s">
        <v>26</v>
      </c>
      <c r="K1902" t="s">
        <v>86</v>
      </c>
      <c r="L1902" t="b">
        <v>1</v>
      </c>
      <c r="M1902" t="s">
        <v>9373</v>
      </c>
      <c r="N1902" t="str">
        <f>"809/.933587"</f>
        <v>809/.933587</v>
      </c>
      <c r="P1902" t="b">
        <v>0</v>
      </c>
      <c r="R1902" t="str">
        <f>"9780823232383"</f>
        <v>9780823232383</v>
      </c>
      <c r="S1902" t="str">
        <f>"9780823238279"</f>
        <v>9780823238279</v>
      </c>
      <c r="T1902">
        <v>761328860</v>
      </c>
    </row>
    <row r="1903" spans="1:20" x14ac:dyDescent="0.25">
      <c r="A1903">
        <v>395511</v>
      </c>
      <c r="B1903" t="s">
        <v>9374</v>
      </c>
      <c r="D1903" t="s">
        <v>131</v>
      </c>
      <c r="E1903" t="s">
        <v>2389</v>
      </c>
      <c r="F1903">
        <v>2005</v>
      </c>
      <c r="G1903" t="s">
        <v>2281</v>
      </c>
      <c r="H1903" t="s">
        <v>9375</v>
      </c>
      <c r="I1903" t="s">
        <v>9376</v>
      </c>
      <c r="J1903" t="s">
        <v>26</v>
      </c>
      <c r="K1903" t="s">
        <v>86</v>
      </c>
      <c r="L1903" t="b">
        <v>1</v>
      </c>
      <c r="M1903" t="s">
        <v>9377</v>
      </c>
      <c r="N1903" t="str">
        <f>"170/.42"</f>
        <v>170/.42</v>
      </c>
      <c r="P1903" t="b">
        <v>0</v>
      </c>
      <c r="R1903" t="str">
        <f>"9780823225033"</f>
        <v>9780823225033</v>
      </c>
      <c r="S1903" t="str">
        <f>"9780823237685"</f>
        <v>9780823237685</v>
      </c>
      <c r="T1903">
        <v>191818345</v>
      </c>
    </row>
    <row r="1904" spans="1:20" x14ac:dyDescent="0.25">
      <c r="A1904">
        <v>395509</v>
      </c>
      <c r="B1904" t="s">
        <v>9378</v>
      </c>
      <c r="C1904" t="s">
        <v>9379</v>
      </c>
      <c r="D1904" t="s">
        <v>131</v>
      </c>
      <c r="E1904" t="s">
        <v>2405</v>
      </c>
      <c r="F1904">
        <v>2010</v>
      </c>
      <c r="G1904" t="s">
        <v>2417</v>
      </c>
      <c r="H1904" t="s">
        <v>9380</v>
      </c>
      <c r="I1904" t="s">
        <v>9381</v>
      </c>
      <c r="J1904" t="s">
        <v>26</v>
      </c>
      <c r="K1904" t="s">
        <v>86</v>
      </c>
      <c r="L1904" t="b">
        <v>1</v>
      </c>
      <c r="M1904" t="s">
        <v>9382</v>
      </c>
      <c r="N1904" t="str">
        <f>"811.009/384"</f>
        <v>811.009/384</v>
      </c>
      <c r="P1904" t="b">
        <v>0</v>
      </c>
      <c r="R1904" t="str">
        <f>"9780823231447"</f>
        <v>9780823231447</v>
      </c>
      <c r="S1904" t="str">
        <f>"9780823231461"</f>
        <v>9780823231461</v>
      </c>
      <c r="T1904">
        <v>712990679</v>
      </c>
    </row>
    <row r="1905" spans="1:20" x14ac:dyDescent="0.25">
      <c r="A1905">
        <v>393242</v>
      </c>
      <c r="B1905" t="s">
        <v>9383</v>
      </c>
      <c r="C1905" t="s">
        <v>9384</v>
      </c>
      <c r="D1905" t="s">
        <v>2269</v>
      </c>
      <c r="E1905" t="s">
        <v>2269</v>
      </c>
      <c r="F1905">
        <v>2009</v>
      </c>
      <c r="G1905" t="s">
        <v>7374</v>
      </c>
      <c r="H1905" t="s">
        <v>9385</v>
      </c>
      <c r="I1905" t="s">
        <v>9386</v>
      </c>
      <c r="J1905" t="s">
        <v>26</v>
      </c>
      <c r="K1905" t="s">
        <v>27</v>
      </c>
      <c r="L1905" t="b">
        <v>1</v>
      </c>
      <c r="M1905" t="s">
        <v>9387</v>
      </c>
      <c r="N1905" t="str">
        <f>"541/.394"</f>
        <v>541/.394</v>
      </c>
      <c r="P1905" t="b">
        <v>0</v>
      </c>
      <c r="Q1905" t="b">
        <v>0</v>
      </c>
      <c r="R1905" t="str">
        <f>"9781606923528"</f>
        <v>9781606923528</v>
      </c>
      <c r="S1905" t="str">
        <f>"9781614701835"</f>
        <v>9781614701835</v>
      </c>
      <c r="T1905">
        <v>758005923</v>
      </c>
    </row>
    <row r="1906" spans="1:20" x14ac:dyDescent="0.25">
      <c r="A1906">
        <v>393233</v>
      </c>
      <c r="B1906" t="s">
        <v>9388</v>
      </c>
      <c r="D1906" t="s">
        <v>2269</v>
      </c>
      <c r="E1906" t="s">
        <v>2269</v>
      </c>
      <c r="F1906">
        <v>2009</v>
      </c>
      <c r="G1906" t="s">
        <v>9389</v>
      </c>
      <c r="H1906" t="s">
        <v>9390</v>
      </c>
      <c r="I1906" t="s">
        <v>9391</v>
      </c>
      <c r="J1906" t="s">
        <v>26</v>
      </c>
      <c r="K1906" t="s">
        <v>27</v>
      </c>
      <c r="L1906" t="b">
        <v>1</v>
      </c>
      <c r="M1906" t="s">
        <v>9392</v>
      </c>
      <c r="N1906" t="str">
        <f>"511/.5"</f>
        <v>511/.5</v>
      </c>
      <c r="P1906" t="b">
        <v>0</v>
      </c>
      <c r="Q1906" t="b">
        <v>0</v>
      </c>
      <c r="R1906" t="str">
        <f>"9781606923740"</f>
        <v>9781606923740</v>
      </c>
      <c r="S1906" t="str">
        <f>"9781614701132"</f>
        <v>9781614701132</v>
      </c>
      <c r="T1906">
        <v>756501382</v>
      </c>
    </row>
    <row r="1907" spans="1:20" x14ac:dyDescent="0.25">
      <c r="A1907">
        <v>393232</v>
      </c>
      <c r="B1907" t="s">
        <v>9393</v>
      </c>
      <c r="D1907" t="s">
        <v>2269</v>
      </c>
      <c r="E1907" t="s">
        <v>2269</v>
      </c>
      <c r="F1907">
        <v>2009</v>
      </c>
      <c r="G1907" t="s">
        <v>5014</v>
      </c>
      <c r="H1907" t="s">
        <v>9394</v>
      </c>
      <c r="I1907" t="s">
        <v>9395</v>
      </c>
      <c r="J1907" t="s">
        <v>26</v>
      </c>
      <c r="K1907" t="s">
        <v>27</v>
      </c>
      <c r="L1907" t="b">
        <v>1</v>
      </c>
      <c r="M1907" t="s">
        <v>9392</v>
      </c>
      <c r="N1907" t="str">
        <f>"511/.5"</f>
        <v>511/.5</v>
      </c>
      <c r="P1907" t="b">
        <v>0</v>
      </c>
      <c r="Q1907" t="b">
        <v>0</v>
      </c>
      <c r="R1907" t="str">
        <f>"9781606923726"</f>
        <v>9781606923726</v>
      </c>
      <c r="S1907" t="str">
        <f>"9781614701125"</f>
        <v>9781614701125</v>
      </c>
      <c r="T1907">
        <v>847626908</v>
      </c>
    </row>
    <row r="1908" spans="1:20" x14ac:dyDescent="0.25">
      <c r="A1908">
        <v>393231</v>
      </c>
      <c r="B1908" t="s">
        <v>9396</v>
      </c>
      <c r="D1908" t="s">
        <v>2269</v>
      </c>
      <c r="E1908" t="s">
        <v>2269</v>
      </c>
      <c r="F1908">
        <v>2009</v>
      </c>
      <c r="G1908" t="s">
        <v>334</v>
      </c>
      <c r="H1908" t="s">
        <v>9397</v>
      </c>
      <c r="I1908" t="s">
        <v>9398</v>
      </c>
      <c r="J1908" t="s">
        <v>26</v>
      </c>
      <c r="K1908" t="s">
        <v>27</v>
      </c>
      <c r="L1908" t="b">
        <v>1</v>
      </c>
      <c r="M1908" t="s">
        <v>9399</v>
      </c>
      <c r="N1908" t="str">
        <f>"620/.0044"</f>
        <v>620/.0044</v>
      </c>
      <c r="P1908" t="b">
        <v>0</v>
      </c>
      <c r="Q1908" t="b">
        <v>0</v>
      </c>
      <c r="R1908" t="str">
        <f>"9781606922637"</f>
        <v>9781606922637</v>
      </c>
      <c r="S1908" t="str">
        <f>"9781614701118"</f>
        <v>9781614701118</v>
      </c>
      <c r="T1908">
        <v>759866034</v>
      </c>
    </row>
    <row r="1909" spans="1:20" x14ac:dyDescent="0.25">
      <c r="A1909">
        <v>393223</v>
      </c>
      <c r="B1909" t="s">
        <v>9400</v>
      </c>
      <c r="D1909" t="s">
        <v>2269</v>
      </c>
      <c r="E1909" t="s">
        <v>8996</v>
      </c>
      <c r="F1909">
        <v>2009</v>
      </c>
      <c r="G1909" t="s">
        <v>4770</v>
      </c>
      <c r="H1909" t="s">
        <v>9401</v>
      </c>
      <c r="I1909" t="s">
        <v>9402</v>
      </c>
      <c r="J1909" t="s">
        <v>26</v>
      </c>
      <c r="K1909" t="s">
        <v>27</v>
      </c>
      <c r="L1909" t="b">
        <v>1</v>
      </c>
      <c r="M1909" t="s">
        <v>9403</v>
      </c>
      <c r="N1909" t="str">
        <f>"616.9/101"</f>
        <v>616.9/101</v>
      </c>
      <c r="O1909" t="s">
        <v>9404</v>
      </c>
      <c r="P1909" t="b">
        <v>0</v>
      </c>
      <c r="Q1909" t="b">
        <v>0</v>
      </c>
      <c r="R1909" t="str">
        <f>"9781606929650"</f>
        <v>9781606929650</v>
      </c>
      <c r="S1909" t="str">
        <f>"9781614700975"</f>
        <v>9781614700975</v>
      </c>
      <c r="T1909">
        <v>780442650</v>
      </c>
    </row>
    <row r="1910" spans="1:20" x14ac:dyDescent="0.25">
      <c r="A1910">
        <v>393221</v>
      </c>
      <c r="B1910" t="s">
        <v>9405</v>
      </c>
      <c r="D1910" t="s">
        <v>2269</v>
      </c>
      <c r="E1910" t="s">
        <v>2269</v>
      </c>
      <c r="F1910">
        <v>2009</v>
      </c>
      <c r="G1910" t="s">
        <v>8991</v>
      </c>
      <c r="H1910" t="s">
        <v>9406</v>
      </c>
      <c r="I1910" t="s">
        <v>9407</v>
      </c>
      <c r="J1910" t="s">
        <v>26</v>
      </c>
      <c r="K1910" t="s">
        <v>27</v>
      </c>
      <c r="L1910" t="b">
        <v>1</v>
      </c>
      <c r="M1910" t="s">
        <v>9408</v>
      </c>
      <c r="N1910" t="str">
        <f>"362.196/9"</f>
        <v>362.196/9</v>
      </c>
      <c r="O1910" t="s">
        <v>9409</v>
      </c>
      <c r="P1910" t="b">
        <v>0</v>
      </c>
      <c r="Q1910" t="b">
        <v>0</v>
      </c>
      <c r="R1910" t="str">
        <f>"9781607413479"</f>
        <v>9781607413479</v>
      </c>
      <c r="S1910" t="str">
        <f>"9781614700906"</f>
        <v>9781614700906</v>
      </c>
      <c r="T1910">
        <v>757745369</v>
      </c>
    </row>
    <row r="1911" spans="1:20" x14ac:dyDescent="0.25">
      <c r="A1911">
        <v>393220</v>
      </c>
      <c r="B1911" t="s">
        <v>9410</v>
      </c>
      <c r="C1911" t="s">
        <v>9411</v>
      </c>
      <c r="D1911" t="s">
        <v>2269</v>
      </c>
      <c r="E1911" t="s">
        <v>2269</v>
      </c>
      <c r="F1911">
        <v>2009</v>
      </c>
      <c r="G1911" t="s">
        <v>9412</v>
      </c>
      <c r="H1911" t="s">
        <v>9413</v>
      </c>
      <c r="I1911" t="s">
        <v>9414</v>
      </c>
      <c r="J1911" t="s">
        <v>26</v>
      </c>
      <c r="K1911" t="s">
        <v>27</v>
      </c>
      <c r="L1911" t="b">
        <v>1</v>
      </c>
      <c r="M1911" t="s">
        <v>9415</v>
      </c>
      <c r="N1911" t="str">
        <f>"628.4"</f>
        <v>628.4</v>
      </c>
      <c r="P1911" t="b">
        <v>0</v>
      </c>
      <c r="Q1911" t="b">
        <v>0</v>
      </c>
      <c r="R1911" t="str">
        <f>"9781606927205"</f>
        <v>9781606927205</v>
      </c>
      <c r="S1911" t="str">
        <f>"9781614700890"</f>
        <v>9781614700890</v>
      </c>
      <c r="T1911">
        <v>756501430</v>
      </c>
    </row>
    <row r="1912" spans="1:20" x14ac:dyDescent="0.25">
      <c r="A1912">
        <v>392612</v>
      </c>
      <c r="B1912" t="s">
        <v>9416</v>
      </c>
      <c r="C1912" t="s">
        <v>9417</v>
      </c>
      <c r="D1912" t="s">
        <v>9418</v>
      </c>
      <c r="E1912" t="s">
        <v>2143</v>
      </c>
      <c r="F1912">
        <v>2008</v>
      </c>
      <c r="G1912" t="s">
        <v>2145</v>
      </c>
      <c r="H1912" t="s">
        <v>9419</v>
      </c>
      <c r="I1912" t="s">
        <v>9420</v>
      </c>
      <c r="J1912" t="s">
        <v>26</v>
      </c>
      <c r="K1912" t="s">
        <v>27</v>
      </c>
      <c r="L1912" t="b">
        <v>1</v>
      </c>
      <c r="M1912" t="s">
        <v>9421</v>
      </c>
      <c r="N1912" t="str">
        <f>"616.89"</f>
        <v>616.89</v>
      </c>
      <c r="P1912" t="b">
        <v>0</v>
      </c>
      <c r="S1912" t="str">
        <f>"9781849406482"</f>
        <v>9781849406482</v>
      </c>
      <c r="T1912">
        <v>757260959</v>
      </c>
    </row>
    <row r="1913" spans="1:20" x14ac:dyDescent="0.25">
      <c r="A1913">
        <v>392543</v>
      </c>
      <c r="B1913" t="s">
        <v>9422</v>
      </c>
      <c r="C1913" t="s">
        <v>9423</v>
      </c>
      <c r="D1913" t="s">
        <v>9424</v>
      </c>
      <c r="E1913" t="s">
        <v>9424</v>
      </c>
      <c r="F1913">
        <v>2010</v>
      </c>
      <c r="H1913" t="s">
        <v>9425</v>
      </c>
      <c r="I1913" t="s">
        <v>9426</v>
      </c>
      <c r="J1913" t="s">
        <v>26</v>
      </c>
      <c r="K1913" t="s">
        <v>27</v>
      </c>
      <c r="L1913" t="b">
        <v>1</v>
      </c>
      <c r="M1913" t="s">
        <v>9427</v>
      </c>
      <c r="N1913" t="str">
        <f>"616.3/42"</f>
        <v>616.3/42</v>
      </c>
      <c r="P1913" t="b">
        <v>0</v>
      </c>
      <c r="R1913" t="str">
        <f>"9781603560092"</f>
        <v>9781603560092</v>
      </c>
      <c r="S1913" t="str">
        <f>"9781603560153"</f>
        <v>9781603560153</v>
      </c>
      <c r="T1913">
        <v>759209582</v>
      </c>
    </row>
    <row r="1914" spans="1:20" x14ac:dyDescent="0.25">
      <c r="A1914">
        <v>392542</v>
      </c>
      <c r="B1914" t="s">
        <v>9428</v>
      </c>
      <c r="C1914" t="s">
        <v>9429</v>
      </c>
      <c r="D1914" t="s">
        <v>9424</v>
      </c>
      <c r="E1914" t="s">
        <v>9424</v>
      </c>
      <c r="F1914">
        <v>2010</v>
      </c>
      <c r="G1914" t="s">
        <v>8690</v>
      </c>
      <c r="H1914" t="s">
        <v>9430</v>
      </c>
      <c r="I1914" t="s">
        <v>9431</v>
      </c>
      <c r="J1914" t="s">
        <v>26</v>
      </c>
      <c r="K1914" t="s">
        <v>27</v>
      </c>
      <c r="L1914" t="b">
        <v>1</v>
      </c>
      <c r="M1914" t="s">
        <v>9432</v>
      </c>
      <c r="N1914" t="str">
        <f>"616.344"</f>
        <v>616.344</v>
      </c>
      <c r="P1914" t="b">
        <v>0</v>
      </c>
      <c r="R1914" t="str">
        <f>"9781603560054"</f>
        <v>9781603560054</v>
      </c>
      <c r="S1914" t="str">
        <f>"9781603560177"</f>
        <v>9781603560177</v>
      </c>
      <c r="T1914">
        <v>759117240</v>
      </c>
    </row>
    <row r="1915" spans="1:20" x14ac:dyDescent="0.25">
      <c r="A1915">
        <v>391164</v>
      </c>
      <c r="B1915" t="s">
        <v>9433</v>
      </c>
      <c r="C1915" t="s">
        <v>9434</v>
      </c>
      <c r="D1915" t="s">
        <v>8603</v>
      </c>
      <c r="E1915" t="s">
        <v>8604</v>
      </c>
      <c r="F1915">
        <v>2009</v>
      </c>
      <c r="G1915" t="s">
        <v>9435</v>
      </c>
      <c r="H1915" t="s">
        <v>9436</v>
      </c>
      <c r="I1915" t="s">
        <v>9437</v>
      </c>
      <c r="J1915" t="s">
        <v>26</v>
      </c>
      <c r="K1915" t="s">
        <v>27</v>
      </c>
      <c r="L1915" t="b">
        <v>1</v>
      </c>
      <c r="M1915" t="s">
        <v>9438</v>
      </c>
      <c r="N1915" t="str">
        <f>"025.042"</f>
        <v>025.042</v>
      </c>
      <c r="P1915" t="b">
        <v>0</v>
      </c>
      <c r="R1915" t="str">
        <f>"9781905356843"</f>
        <v>9781905356843</v>
      </c>
      <c r="S1915" t="str">
        <f>"9781905356850"</f>
        <v>9781905356850</v>
      </c>
      <c r="T1915">
        <v>645757691</v>
      </c>
    </row>
    <row r="1916" spans="1:20" x14ac:dyDescent="0.25">
      <c r="A1916">
        <v>391163</v>
      </c>
      <c r="B1916" t="s">
        <v>9439</v>
      </c>
      <c r="C1916" t="s">
        <v>9440</v>
      </c>
      <c r="D1916" t="s">
        <v>8603</v>
      </c>
      <c r="E1916" t="s">
        <v>8604</v>
      </c>
      <c r="F1916">
        <v>2009</v>
      </c>
      <c r="G1916" t="s">
        <v>6607</v>
      </c>
      <c r="H1916" t="s">
        <v>9441</v>
      </c>
      <c r="I1916" t="s">
        <v>9442</v>
      </c>
      <c r="J1916" t="s">
        <v>26</v>
      </c>
      <c r="K1916" t="s">
        <v>27</v>
      </c>
      <c r="L1916" t="b">
        <v>1</v>
      </c>
      <c r="M1916" t="s">
        <v>9443</v>
      </c>
      <c r="N1916" t="str">
        <f>"005.8"</f>
        <v>005.8</v>
      </c>
      <c r="P1916" t="b">
        <v>0</v>
      </c>
      <c r="R1916" t="str">
        <f>"9781849280105"</f>
        <v>9781849280105</v>
      </c>
      <c r="S1916" t="str">
        <f>"9781849280112"</f>
        <v>9781849280112</v>
      </c>
      <c r="T1916">
        <v>669758669</v>
      </c>
    </row>
    <row r="1917" spans="1:20" x14ac:dyDescent="0.25">
      <c r="A1917">
        <v>391162</v>
      </c>
      <c r="B1917" t="s">
        <v>9444</v>
      </c>
      <c r="C1917" t="s">
        <v>9445</v>
      </c>
      <c r="D1917" t="s">
        <v>8603</v>
      </c>
      <c r="E1917" t="s">
        <v>8604</v>
      </c>
      <c r="F1917">
        <v>2009</v>
      </c>
      <c r="G1917" t="s">
        <v>8626</v>
      </c>
      <c r="H1917" t="s">
        <v>9446</v>
      </c>
      <c r="I1917" t="s">
        <v>9447</v>
      </c>
      <c r="J1917" t="s">
        <v>26</v>
      </c>
      <c r="K1917" t="s">
        <v>27</v>
      </c>
      <c r="L1917" t="b">
        <v>1</v>
      </c>
      <c r="M1917" t="s">
        <v>9448</v>
      </c>
      <c r="N1917" t="str">
        <f>"658.408/3"</f>
        <v>658.408/3</v>
      </c>
      <c r="P1917" t="b">
        <v>0</v>
      </c>
      <c r="R1917" t="str">
        <f>"9781849280044"</f>
        <v>9781849280044</v>
      </c>
      <c r="S1917" t="str">
        <f>"9781849280051"</f>
        <v>9781849280051</v>
      </c>
      <c r="T1917">
        <v>704518488</v>
      </c>
    </row>
    <row r="1918" spans="1:20" x14ac:dyDescent="0.25">
      <c r="A1918">
        <v>391160</v>
      </c>
      <c r="B1918" t="s">
        <v>9449</v>
      </c>
      <c r="C1918" t="s">
        <v>9450</v>
      </c>
      <c r="D1918" t="s">
        <v>8603</v>
      </c>
      <c r="E1918" t="s">
        <v>8604</v>
      </c>
      <c r="F1918">
        <v>2008</v>
      </c>
      <c r="G1918" t="s">
        <v>2209</v>
      </c>
      <c r="H1918" t="s">
        <v>9451</v>
      </c>
      <c r="I1918" t="s">
        <v>9452</v>
      </c>
      <c r="J1918" t="s">
        <v>26</v>
      </c>
      <c r="K1918" t="s">
        <v>27</v>
      </c>
      <c r="L1918" t="b">
        <v>1</v>
      </c>
      <c r="M1918" t="s">
        <v>9453</v>
      </c>
      <c r="N1918" t="str">
        <f>"004/.068"</f>
        <v>004/.068</v>
      </c>
      <c r="P1918" t="b">
        <v>0</v>
      </c>
      <c r="R1918" t="str">
        <f>"9781905356744"</f>
        <v>9781905356744</v>
      </c>
      <c r="S1918" t="str">
        <f>"9781905356751"</f>
        <v>9781905356751</v>
      </c>
      <c r="T1918">
        <v>639195171</v>
      </c>
    </row>
    <row r="1919" spans="1:20" x14ac:dyDescent="0.25">
      <c r="A1919">
        <v>391158</v>
      </c>
      <c r="B1919" t="s">
        <v>9454</v>
      </c>
      <c r="D1919" t="s">
        <v>8603</v>
      </c>
      <c r="E1919" t="s">
        <v>8604</v>
      </c>
      <c r="F1919">
        <v>2008</v>
      </c>
      <c r="G1919" t="s">
        <v>9455</v>
      </c>
      <c r="H1919" t="s">
        <v>9456</v>
      </c>
      <c r="I1919" t="s">
        <v>9457</v>
      </c>
      <c r="J1919" t="s">
        <v>26</v>
      </c>
      <c r="K1919" t="s">
        <v>27</v>
      </c>
      <c r="L1919" t="b">
        <v>1</v>
      </c>
      <c r="M1919" t="s">
        <v>9448</v>
      </c>
      <c r="N1919" t="str">
        <f>"658.478"</f>
        <v>658.478</v>
      </c>
      <c r="P1919" t="b">
        <v>0</v>
      </c>
      <c r="R1919" t="str">
        <f>"9781905356546"</f>
        <v>9781905356546</v>
      </c>
      <c r="S1919" t="str">
        <f>"9781905356553"</f>
        <v>9781905356553</v>
      </c>
      <c r="T1919">
        <v>609854800</v>
      </c>
    </row>
    <row r="1920" spans="1:20" x14ac:dyDescent="0.25">
      <c r="A1920">
        <v>391152</v>
      </c>
      <c r="B1920" t="s">
        <v>9458</v>
      </c>
      <c r="C1920" t="s">
        <v>9459</v>
      </c>
      <c r="D1920" t="s">
        <v>8603</v>
      </c>
      <c r="E1920" t="s">
        <v>8604</v>
      </c>
      <c r="F1920">
        <v>2008</v>
      </c>
      <c r="G1920" t="s">
        <v>9455</v>
      </c>
      <c r="H1920" t="s">
        <v>9460</v>
      </c>
      <c r="I1920" t="s">
        <v>9461</v>
      </c>
      <c r="J1920" t="s">
        <v>26</v>
      </c>
      <c r="K1920" t="s">
        <v>27</v>
      </c>
      <c r="L1920" t="b">
        <v>1</v>
      </c>
      <c r="M1920" t="s">
        <v>9448</v>
      </c>
      <c r="N1920" t="str">
        <f>"658.478"</f>
        <v>658.478</v>
      </c>
      <c r="P1920" t="b">
        <v>0</v>
      </c>
      <c r="R1920" t="str">
        <f>"9781905356577"</f>
        <v>9781905356577</v>
      </c>
      <c r="S1920" t="str">
        <f>"9781905356584"</f>
        <v>9781905356584</v>
      </c>
      <c r="T1920">
        <v>609854797</v>
      </c>
    </row>
    <row r="1921" spans="1:20" x14ac:dyDescent="0.25">
      <c r="A1921">
        <v>391149</v>
      </c>
      <c r="B1921" t="s">
        <v>9462</v>
      </c>
      <c r="C1921" t="s">
        <v>9463</v>
      </c>
      <c r="D1921" t="s">
        <v>8603</v>
      </c>
      <c r="E1921" t="s">
        <v>8604</v>
      </c>
      <c r="F1921">
        <v>2008</v>
      </c>
      <c r="G1921" t="s">
        <v>9455</v>
      </c>
      <c r="H1921" t="s">
        <v>9464</v>
      </c>
      <c r="I1921" t="s">
        <v>9465</v>
      </c>
      <c r="J1921" t="s">
        <v>26</v>
      </c>
      <c r="K1921" t="s">
        <v>27</v>
      </c>
      <c r="L1921" t="b">
        <v>1</v>
      </c>
      <c r="M1921" t="s">
        <v>9466</v>
      </c>
      <c r="N1921" t="str">
        <f>"658.472"</f>
        <v>658.472</v>
      </c>
      <c r="P1921" t="b">
        <v>0</v>
      </c>
      <c r="R1921" t="str">
        <f>"9781849281720"</f>
        <v>9781849281720</v>
      </c>
      <c r="S1921" t="str">
        <f>"9781849281737"</f>
        <v>9781849281737</v>
      </c>
      <c r="T1921">
        <v>609854781</v>
      </c>
    </row>
    <row r="1922" spans="1:20" x14ac:dyDescent="0.25">
      <c r="A1922">
        <v>391148</v>
      </c>
      <c r="B1922" t="s">
        <v>9467</v>
      </c>
      <c r="C1922" t="s">
        <v>9463</v>
      </c>
      <c r="D1922" t="s">
        <v>8603</v>
      </c>
      <c r="E1922" t="s">
        <v>8604</v>
      </c>
      <c r="F1922">
        <v>2009</v>
      </c>
      <c r="G1922" t="s">
        <v>9468</v>
      </c>
      <c r="H1922" t="s">
        <v>9469</v>
      </c>
      <c r="I1922" t="s">
        <v>9470</v>
      </c>
      <c r="J1922" t="s">
        <v>26</v>
      </c>
      <c r="K1922" t="s">
        <v>27</v>
      </c>
      <c r="L1922" t="b">
        <v>1</v>
      </c>
      <c r="M1922" t="s">
        <v>9471</v>
      </c>
      <c r="N1922" t="str">
        <f>"005.8"</f>
        <v>005.8</v>
      </c>
      <c r="P1922" t="b">
        <v>0</v>
      </c>
      <c r="R1922" t="str">
        <f>"9781849280204"</f>
        <v>9781849280204</v>
      </c>
      <c r="S1922" t="str">
        <f>"9781849280211"</f>
        <v>9781849280211</v>
      </c>
      <c r="T1922">
        <v>609854809</v>
      </c>
    </row>
    <row r="1923" spans="1:20" x14ac:dyDescent="0.25">
      <c r="A1923">
        <v>391139</v>
      </c>
      <c r="B1923" t="s">
        <v>9472</v>
      </c>
      <c r="C1923" t="s">
        <v>9463</v>
      </c>
      <c r="D1923" t="s">
        <v>8603</v>
      </c>
      <c r="E1923" t="s">
        <v>8604</v>
      </c>
      <c r="F1923">
        <v>2007</v>
      </c>
      <c r="G1923" t="s">
        <v>9455</v>
      </c>
      <c r="H1923" t="s">
        <v>9473</v>
      </c>
      <c r="I1923" t="s">
        <v>9474</v>
      </c>
      <c r="J1923" t="s">
        <v>26</v>
      </c>
      <c r="K1923" t="s">
        <v>27</v>
      </c>
      <c r="L1923" t="b">
        <v>1</v>
      </c>
      <c r="M1923" t="s">
        <v>9475</v>
      </c>
      <c r="N1923" t="str">
        <f>"658.478"</f>
        <v>658.478</v>
      </c>
      <c r="P1923" t="b">
        <v>0</v>
      </c>
      <c r="R1923" t="str">
        <f>"9781905356256"</f>
        <v>9781905356256</v>
      </c>
      <c r="S1923" t="str">
        <f>"9781905356300"</f>
        <v>9781905356300</v>
      </c>
      <c r="T1923">
        <v>609854792</v>
      </c>
    </row>
    <row r="1924" spans="1:20" x14ac:dyDescent="0.25">
      <c r="A1924">
        <v>391132</v>
      </c>
      <c r="B1924" t="s">
        <v>9476</v>
      </c>
      <c r="C1924" t="s">
        <v>9477</v>
      </c>
      <c r="D1924" t="s">
        <v>8603</v>
      </c>
      <c r="E1924" t="s">
        <v>8604</v>
      </c>
      <c r="F1924">
        <v>2009</v>
      </c>
      <c r="G1924" t="s">
        <v>6607</v>
      </c>
      <c r="H1924" t="s">
        <v>9478</v>
      </c>
      <c r="I1924" t="s">
        <v>9479</v>
      </c>
      <c r="J1924" t="s">
        <v>26</v>
      </c>
      <c r="K1924" t="s">
        <v>27</v>
      </c>
      <c r="L1924" t="b">
        <v>1</v>
      </c>
      <c r="M1924" t="s">
        <v>9480</v>
      </c>
      <c r="N1924" t="str">
        <f>"005.8"</f>
        <v>005.8</v>
      </c>
      <c r="P1924" t="b">
        <v>0</v>
      </c>
      <c r="R1924" t="str">
        <f>"9781849280273"</f>
        <v>9781849280273</v>
      </c>
      <c r="S1924" t="str">
        <f>"9781849280280"</f>
        <v>9781849280280</v>
      </c>
      <c r="T1924">
        <v>609853234</v>
      </c>
    </row>
    <row r="1925" spans="1:20" x14ac:dyDescent="0.25">
      <c r="A1925">
        <v>391131</v>
      </c>
      <c r="B1925" t="s">
        <v>9481</v>
      </c>
      <c r="C1925" t="s">
        <v>9463</v>
      </c>
      <c r="D1925" t="s">
        <v>8603</v>
      </c>
      <c r="E1925" t="s">
        <v>8604</v>
      </c>
      <c r="F1925">
        <v>2009</v>
      </c>
      <c r="G1925" t="s">
        <v>9435</v>
      </c>
      <c r="H1925" t="s">
        <v>9482</v>
      </c>
      <c r="I1925" t="s">
        <v>9437</v>
      </c>
      <c r="J1925" t="s">
        <v>26</v>
      </c>
      <c r="K1925" t="s">
        <v>27</v>
      </c>
      <c r="L1925" t="b">
        <v>1</v>
      </c>
      <c r="M1925" t="s">
        <v>9438</v>
      </c>
      <c r="N1925" t="str">
        <f>"025.0425"</f>
        <v>025.0425</v>
      </c>
      <c r="P1925" t="b">
        <v>0</v>
      </c>
      <c r="R1925" t="str">
        <f>"9781905356867"</f>
        <v>9781905356867</v>
      </c>
      <c r="S1925" t="str">
        <f>"9781905356874"</f>
        <v>9781905356874</v>
      </c>
      <c r="T1925">
        <v>639195149</v>
      </c>
    </row>
    <row r="1926" spans="1:20" x14ac:dyDescent="0.25">
      <c r="A1926">
        <v>391130</v>
      </c>
      <c r="B1926" t="s">
        <v>9483</v>
      </c>
      <c r="C1926" t="s">
        <v>9463</v>
      </c>
      <c r="D1926" t="s">
        <v>8603</v>
      </c>
      <c r="E1926" t="s">
        <v>8604</v>
      </c>
      <c r="F1926">
        <v>2009</v>
      </c>
      <c r="G1926" t="s">
        <v>6607</v>
      </c>
      <c r="H1926" t="s">
        <v>9484</v>
      </c>
      <c r="I1926" t="s">
        <v>9485</v>
      </c>
      <c r="J1926" t="s">
        <v>26</v>
      </c>
      <c r="K1926" t="s">
        <v>27</v>
      </c>
      <c r="L1926" t="b">
        <v>1</v>
      </c>
      <c r="M1926" t="s">
        <v>9486</v>
      </c>
      <c r="N1926" t="str">
        <f>"005.8"</f>
        <v>005.8</v>
      </c>
      <c r="P1926" t="b">
        <v>0</v>
      </c>
      <c r="R1926" t="str">
        <f>"9781905356966"</f>
        <v>9781905356966</v>
      </c>
      <c r="S1926" t="str">
        <f>"9781905356973"</f>
        <v>9781905356973</v>
      </c>
      <c r="T1926">
        <v>679603868</v>
      </c>
    </row>
    <row r="1927" spans="1:20" x14ac:dyDescent="0.25">
      <c r="A1927">
        <v>391129</v>
      </c>
      <c r="B1927" t="s">
        <v>9487</v>
      </c>
      <c r="C1927" t="s">
        <v>9488</v>
      </c>
      <c r="D1927" t="s">
        <v>8603</v>
      </c>
      <c r="E1927" t="s">
        <v>8604</v>
      </c>
      <c r="F1927">
        <v>2009</v>
      </c>
      <c r="G1927" t="s">
        <v>9489</v>
      </c>
      <c r="H1927" t="s">
        <v>9490</v>
      </c>
      <c r="I1927" t="s">
        <v>9491</v>
      </c>
      <c r="J1927" t="s">
        <v>26</v>
      </c>
      <c r="K1927" t="s">
        <v>27</v>
      </c>
      <c r="L1927" t="b">
        <v>1</v>
      </c>
      <c r="M1927" t="s">
        <v>9453</v>
      </c>
      <c r="N1927" t="str">
        <f>"621.390286"</f>
        <v>621.390286</v>
      </c>
      <c r="P1927" t="b">
        <v>0</v>
      </c>
      <c r="R1927" t="str">
        <f>"9781849280082"</f>
        <v>9781849280082</v>
      </c>
      <c r="S1927" t="str">
        <f>"9781849280099"</f>
        <v>9781849280099</v>
      </c>
      <c r="T1927">
        <v>505429934</v>
      </c>
    </row>
    <row r="1928" spans="1:20" x14ac:dyDescent="0.25">
      <c r="A1928">
        <v>391128</v>
      </c>
      <c r="B1928" t="s">
        <v>9492</v>
      </c>
      <c r="C1928" t="s">
        <v>9463</v>
      </c>
      <c r="D1928" t="s">
        <v>8603</v>
      </c>
      <c r="E1928" t="s">
        <v>8604</v>
      </c>
      <c r="F1928">
        <v>2009</v>
      </c>
      <c r="G1928" t="s">
        <v>9489</v>
      </c>
      <c r="H1928" t="s">
        <v>9493</v>
      </c>
      <c r="I1928" t="s">
        <v>9494</v>
      </c>
      <c r="J1928" t="s">
        <v>26</v>
      </c>
      <c r="K1928" t="s">
        <v>27</v>
      </c>
      <c r="L1928" t="b">
        <v>1</v>
      </c>
      <c r="M1928" t="s">
        <v>9495</v>
      </c>
      <c r="N1928" t="str">
        <f>"004.068"</f>
        <v>004.068</v>
      </c>
      <c r="P1928" t="b">
        <v>0</v>
      </c>
      <c r="R1928" t="str">
        <f>"9781849280167"</f>
        <v>9781849280167</v>
      </c>
      <c r="S1928" t="str">
        <f>"9781849280174"</f>
        <v>9781849280174</v>
      </c>
      <c r="T1928">
        <v>640375464</v>
      </c>
    </row>
    <row r="1929" spans="1:20" x14ac:dyDescent="0.25">
      <c r="A1929">
        <v>391121</v>
      </c>
      <c r="B1929" t="s">
        <v>9496</v>
      </c>
      <c r="C1929" t="s">
        <v>9463</v>
      </c>
      <c r="D1929" t="s">
        <v>8603</v>
      </c>
      <c r="E1929" t="s">
        <v>8604</v>
      </c>
      <c r="F1929">
        <v>2009</v>
      </c>
      <c r="G1929" t="s">
        <v>9497</v>
      </c>
      <c r="H1929" t="s">
        <v>9498</v>
      </c>
      <c r="I1929" t="s">
        <v>9499</v>
      </c>
      <c r="J1929" t="s">
        <v>26</v>
      </c>
      <c r="K1929" t="s">
        <v>27</v>
      </c>
      <c r="L1929" t="b">
        <v>1</v>
      </c>
      <c r="M1929" t="s">
        <v>9475</v>
      </c>
      <c r="N1929" t="str">
        <f>"658.4/03/801/1"</f>
        <v>658.4/03/801/1</v>
      </c>
      <c r="P1929" t="b">
        <v>0</v>
      </c>
      <c r="R1929" t="str">
        <f>"9781849280006"</f>
        <v>9781849280006</v>
      </c>
      <c r="S1929" t="str">
        <f>"9781849280013"</f>
        <v>9781849280013</v>
      </c>
      <c r="T1929">
        <v>645757632</v>
      </c>
    </row>
    <row r="1930" spans="1:20" x14ac:dyDescent="0.25">
      <c r="A1930">
        <v>391114</v>
      </c>
      <c r="B1930" t="s">
        <v>9500</v>
      </c>
      <c r="C1930" t="s">
        <v>9501</v>
      </c>
      <c r="D1930" t="s">
        <v>8603</v>
      </c>
      <c r="E1930" t="s">
        <v>8604</v>
      </c>
      <c r="F1930">
        <v>2009</v>
      </c>
      <c r="G1930" t="s">
        <v>9502</v>
      </c>
      <c r="H1930" t="s">
        <v>9503</v>
      </c>
      <c r="I1930" t="s">
        <v>9504</v>
      </c>
      <c r="J1930" t="s">
        <v>26</v>
      </c>
      <c r="K1930" t="s">
        <v>27</v>
      </c>
      <c r="L1930" t="b">
        <v>1</v>
      </c>
      <c r="M1930" t="s">
        <v>9505</v>
      </c>
      <c r="N1930" t="str">
        <f>"005.8"</f>
        <v>005.8</v>
      </c>
      <c r="P1930" t="b">
        <v>0</v>
      </c>
      <c r="R1930" t="str">
        <f>"9781849280068"</f>
        <v>9781849280068</v>
      </c>
      <c r="S1930" t="str">
        <f>"9781849280075"</f>
        <v>9781849280075</v>
      </c>
      <c r="T1930">
        <v>688637914</v>
      </c>
    </row>
    <row r="1931" spans="1:20" x14ac:dyDescent="0.25">
      <c r="A1931">
        <v>391113</v>
      </c>
      <c r="B1931" t="s">
        <v>9506</v>
      </c>
      <c r="C1931" t="s">
        <v>9507</v>
      </c>
      <c r="D1931" t="s">
        <v>8603</v>
      </c>
      <c r="E1931" t="s">
        <v>8604</v>
      </c>
      <c r="F1931">
        <v>2009</v>
      </c>
      <c r="G1931" t="s">
        <v>9455</v>
      </c>
      <c r="H1931" t="s">
        <v>9508</v>
      </c>
      <c r="I1931" t="s">
        <v>9509</v>
      </c>
      <c r="J1931" t="s">
        <v>26</v>
      </c>
      <c r="K1931" t="s">
        <v>27</v>
      </c>
      <c r="L1931" t="b">
        <v>1</v>
      </c>
      <c r="M1931" t="s">
        <v>9510</v>
      </c>
      <c r="N1931" t="str">
        <f>"658.47"</f>
        <v>658.47</v>
      </c>
      <c r="P1931" t="b">
        <v>0</v>
      </c>
      <c r="R1931" t="str">
        <f>"9781849280129"</f>
        <v>9781849280129</v>
      </c>
      <c r="S1931" t="str">
        <f>"9781849280136"</f>
        <v>9781849280136</v>
      </c>
      <c r="T1931">
        <v>609854823</v>
      </c>
    </row>
    <row r="1932" spans="1:20" x14ac:dyDescent="0.25">
      <c r="A1932">
        <v>391097</v>
      </c>
      <c r="B1932" t="s">
        <v>9472</v>
      </c>
      <c r="C1932" t="s">
        <v>9511</v>
      </c>
      <c r="D1932" t="s">
        <v>8603</v>
      </c>
      <c r="E1932" t="s">
        <v>8604</v>
      </c>
      <c r="F1932">
        <v>2005</v>
      </c>
      <c r="G1932" t="s">
        <v>9489</v>
      </c>
      <c r="H1932" t="s">
        <v>9512</v>
      </c>
      <c r="I1932" t="s">
        <v>9474</v>
      </c>
      <c r="J1932" t="s">
        <v>26</v>
      </c>
      <c r="K1932" t="s">
        <v>27</v>
      </c>
      <c r="L1932" t="b">
        <v>1</v>
      </c>
      <c r="M1932" t="s">
        <v>9475</v>
      </c>
      <c r="N1932" t="str">
        <f>"004"</f>
        <v>004</v>
      </c>
      <c r="P1932" t="b">
        <v>0</v>
      </c>
      <c r="R1932" t="str">
        <f>"9781905356072"</f>
        <v>9781905356072</v>
      </c>
      <c r="S1932" t="str">
        <f>"9781905356027"</f>
        <v>9781905356027</v>
      </c>
      <c r="T1932">
        <v>648411368</v>
      </c>
    </row>
    <row r="1933" spans="1:20" x14ac:dyDescent="0.25">
      <c r="A1933">
        <v>391091</v>
      </c>
      <c r="B1933" t="s">
        <v>9513</v>
      </c>
      <c r="C1933" t="s">
        <v>9514</v>
      </c>
      <c r="D1933" t="s">
        <v>8603</v>
      </c>
      <c r="E1933" t="s">
        <v>8604</v>
      </c>
      <c r="F1933">
        <v>2008</v>
      </c>
      <c r="G1933" t="s">
        <v>9455</v>
      </c>
      <c r="H1933" t="s">
        <v>9515</v>
      </c>
      <c r="I1933" t="s">
        <v>9516</v>
      </c>
      <c r="J1933" t="s">
        <v>26</v>
      </c>
      <c r="K1933" t="s">
        <v>27</v>
      </c>
      <c r="L1933" t="b">
        <v>1</v>
      </c>
      <c r="M1933" t="s">
        <v>9517</v>
      </c>
      <c r="N1933" t="str">
        <f>"658.478"</f>
        <v>658.478</v>
      </c>
      <c r="P1933" t="b">
        <v>0</v>
      </c>
      <c r="R1933" t="str">
        <f>"9781905356379"</f>
        <v>9781905356379</v>
      </c>
      <c r="S1933" t="str">
        <f>"9781905356386"</f>
        <v>9781905356386</v>
      </c>
      <c r="T1933">
        <v>609854836</v>
      </c>
    </row>
    <row r="1934" spans="1:20" x14ac:dyDescent="0.25">
      <c r="A1934">
        <v>391081</v>
      </c>
      <c r="B1934" t="s">
        <v>9518</v>
      </c>
      <c r="D1934" t="s">
        <v>8603</v>
      </c>
      <c r="E1934" t="s">
        <v>8604</v>
      </c>
      <c r="F1934">
        <v>2008</v>
      </c>
      <c r="G1934" t="s">
        <v>9468</v>
      </c>
      <c r="H1934" t="s">
        <v>9519</v>
      </c>
      <c r="I1934" t="s">
        <v>9520</v>
      </c>
      <c r="J1934" t="s">
        <v>26</v>
      </c>
      <c r="K1934" t="s">
        <v>27</v>
      </c>
      <c r="L1934" t="b">
        <v>1</v>
      </c>
      <c r="M1934" t="s">
        <v>9521</v>
      </c>
      <c r="N1934" t="str">
        <f>"005.8"</f>
        <v>005.8</v>
      </c>
      <c r="P1934" t="b">
        <v>0</v>
      </c>
      <c r="R1934" t="str">
        <f>"9781905356355"</f>
        <v>9781905356355</v>
      </c>
      <c r="S1934" t="str">
        <f>"9781905356362"</f>
        <v>9781905356362</v>
      </c>
      <c r="T1934">
        <v>609854778</v>
      </c>
    </row>
    <row r="1935" spans="1:20" x14ac:dyDescent="0.25">
      <c r="A1935">
        <v>390954</v>
      </c>
      <c r="B1935" t="s">
        <v>9522</v>
      </c>
      <c r="C1935" t="s">
        <v>9523</v>
      </c>
      <c r="D1935" t="s">
        <v>1364</v>
      </c>
      <c r="E1935" t="s">
        <v>1364</v>
      </c>
      <c r="F1935">
        <v>2003</v>
      </c>
      <c r="G1935" t="s">
        <v>8701</v>
      </c>
      <c r="H1935" t="s">
        <v>9524</v>
      </c>
      <c r="I1935" t="s">
        <v>9525</v>
      </c>
      <c r="J1935" t="s">
        <v>7790</v>
      </c>
      <c r="K1935" t="s">
        <v>27</v>
      </c>
      <c r="L1935" t="b">
        <v>1</v>
      </c>
      <c r="M1935" t="s">
        <v>9526</v>
      </c>
      <c r="N1935" t="str">
        <f>"616.07/56"</f>
        <v>616.07/56</v>
      </c>
      <c r="P1935" t="b">
        <v>0</v>
      </c>
      <c r="R1935" t="str">
        <f>"9783110173673"</f>
        <v>9783110173673</v>
      </c>
      <c r="S1935" t="str">
        <f>"9783110200133"</f>
        <v>9783110200133</v>
      </c>
      <c r="T1935">
        <v>763156743</v>
      </c>
    </row>
    <row r="1936" spans="1:20" x14ac:dyDescent="0.25">
      <c r="A1936">
        <v>390551</v>
      </c>
      <c r="B1936" t="s">
        <v>9527</v>
      </c>
      <c r="C1936" t="s">
        <v>9528</v>
      </c>
      <c r="D1936" t="s">
        <v>2269</v>
      </c>
      <c r="E1936" t="s">
        <v>2269</v>
      </c>
      <c r="F1936">
        <v>2009</v>
      </c>
      <c r="G1936" t="s">
        <v>9529</v>
      </c>
      <c r="H1936" t="s">
        <v>9530</v>
      </c>
      <c r="I1936" t="s">
        <v>9531</v>
      </c>
      <c r="J1936" t="s">
        <v>26</v>
      </c>
      <c r="K1936" t="s">
        <v>27</v>
      </c>
      <c r="L1936" t="b">
        <v>1</v>
      </c>
      <c r="M1936" t="s">
        <v>9532</v>
      </c>
      <c r="N1936" t="str">
        <f>"615.5/35"</f>
        <v>615.5/35</v>
      </c>
      <c r="P1936" t="b">
        <v>0</v>
      </c>
      <c r="Q1936" t="b">
        <v>0</v>
      </c>
      <c r="R1936" t="str">
        <f>"9781606925904"</f>
        <v>9781606925904</v>
      </c>
      <c r="S1936" t="str">
        <f>"9781614703549"</f>
        <v>9781614703549</v>
      </c>
      <c r="T1936">
        <v>758386729</v>
      </c>
    </row>
    <row r="1937" spans="1:20" x14ac:dyDescent="0.25">
      <c r="A1937">
        <v>390548</v>
      </c>
      <c r="B1937" t="s">
        <v>9533</v>
      </c>
      <c r="D1937" t="s">
        <v>2269</v>
      </c>
      <c r="E1937" t="s">
        <v>2269</v>
      </c>
      <c r="F1937">
        <v>2009</v>
      </c>
      <c r="G1937" t="s">
        <v>6348</v>
      </c>
      <c r="H1937" t="s">
        <v>9534</v>
      </c>
      <c r="I1937" t="s">
        <v>9535</v>
      </c>
      <c r="J1937" t="s">
        <v>26</v>
      </c>
      <c r="K1937" t="s">
        <v>27</v>
      </c>
      <c r="L1937" t="b">
        <v>1</v>
      </c>
      <c r="M1937" t="s">
        <v>9536</v>
      </c>
      <c r="N1937" t="str">
        <f>"799.2"</f>
        <v>799.2</v>
      </c>
      <c r="P1937" t="b">
        <v>0</v>
      </c>
      <c r="Q1937" t="b">
        <v>0</v>
      </c>
      <c r="R1937" t="str">
        <f>"9781606927922"</f>
        <v>9781606927922</v>
      </c>
      <c r="S1937" t="str">
        <f>"9781614703495"</f>
        <v>9781614703495</v>
      </c>
      <c r="T1937">
        <v>759177109</v>
      </c>
    </row>
    <row r="1938" spans="1:20" x14ac:dyDescent="0.25">
      <c r="A1938">
        <v>390547</v>
      </c>
      <c r="B1938" t="s">
        <v>9537</v>
      </c>
      <c r="D1938" t="s">
        <v>2269</v>
      </c>
      <c r="E1938" t="s">
        <v>2269</v>
      </c>
      <c r="F1938">
        <v>2009</v>
      </c>
      <c r="G1938" t="s">
        <v>6247</v>
      </c>
      <c r="H1938" t="s">
        <v>9538</v>
      </c>
      <c r="I1938" t="s">
        <v>9539</v>
      </c>
      <c r="J1938" t="s">
        <v>26</v>
      </c>
      <c r="K1938" t="s">
        <v>27</v>
      </c>
      <c r="L1938" t="b">
        <v>1</v>
      </c>
      <c r="M1938" t="s">
        <v>9540</v>
      </c>
      <c r="N1938" t="str">
        <f>"614.5/18"</f>
        <v>614.5/18</v>
      </c>
      <c r="P1938" t="b">
        <v>0</v>
      </c>
      <c r="Q1938" t="b">
        <v>0</v>
      </c>
      <c r="R1938" t="str">
        <f>"9781606929322"</f>
        <v>9781606929322</v>
      </c>
      <c r="S1938" t="str">
        <f>"9781614703488"</f>
        <v>9781614703488</v>
      </c>
      <c r="T1938">
        <v>761314170</v>
      </c>
    </row>
    <row r="1939" spans="1:20" x14ac:dyDescent="0.25">
      <c r="A1939">
        <v>390538</v>
      </c>
      <c r="B1939" t="s">
        <v>9541</v>
      </c>
      <c r="D1939" t="s">
        <v>2269</v>
      </c>
      <c r="E1939" t="s">
        <v>9542</v>
      </c>
      <c r="F1939">
        <v>2009</v>
      </c>
      <c r="G1939" t="s">
        <v>9543</v>
      </c>
      <c r="H1939" t="s">
        <v>9544</v>
      </c>
      <c r="I1939" t="s">
        <v>9545</v>
      </c>
      <c r="J1939" t="s">
        <v>26</v>
      </c>
      <c r="K1939" t="s">
        <v>27</v>
      </c>
      <c r="L1939" t="b">
        <v>1</v>
      </c>
      <c r="M1939" t="s">
        <v>9546</v>
      </c>
      <c r="N1939" t="str">
        <f>"620.5"</f>
        <v>620.5</v>
      </c>
      <c r="P1939" t="b">
        <v>0</v>
      </c>
      <c r="Q1939" t="b">
        <v>0</v>
      </c>
      <c r="R1939" t="str">
        <f>"9781606927298"</f>
        <v>9781606927298</v>
      </c>
      <c r="S1939" t="str">
        <f>"9781614703372"</f>
        <v>9781614703372</v>
      </c>
      <c r="T1939">
        <v>759116903</v>
      </c>
    </row>
    <row r="1940" spans="1:20" x14ac:dyDescent="0.25">
      <c r="A1940">
        <v>390537</v>
      </c>
      <c r="B1940" t="s">
        <v>9547</v>
      </c>
      <c r="D1940" t="s">
        <v>2269</v>
      </c>
      <c r="E1940" t="s">
        <v>2269</v>
      </c>
      <c r="F1940">
        <v>2009</v>
      </c>
      <c r="G1940" t="s">
        <v>9548</v>
      </c>
      <c r="H1940" t="s">
        <v>9549</v>
      </c>
      <c r="I1940" t="s">
        <v>9550</v>
      </c>
      <c r="J1940" t="s">
        <v>26</v>
      </c>
      <c r="K1940" t="s">
        <v>27</v>
      </c>
      <c r="L1940" t="b">
        <v>1</v>
      </c>
      <c r="M1940" t="s">
        <v>9551</v>
      </c>
      <c r="N1940" t="str">
        <f>"620/.50973"</f>
        <v>620/.50973</v>
      </c>
      <c r="P1940" t="b">
        <v>0</v>
      </c>
      <c r="Q1940" t="b">
        <v>0</v>
      </c>
      <c r="R1940" t="str">
        <f>"9781606920701"</f>
        <v>9781606920701</v>
      </c>
      <c r="S1940" t="str">
        <f>"9781614703365"</f>
        <v>9781614703365</v>
      </c>
      <c r="T1940">
        <v>759114798</v>
      </c>
    </row>
    <row r="1941" spans="1:20" x14ac:dyDescent="0.25">
      <c r="A1941">
        <v>390536</v>
      </c>
      <c r="B1941" t="s">
        <v>9552</v>
      </c>
      <c r="D1941" t="s">
        <v>2269</v>
      </c>
      <c r="E1941" t="s">
        <v>2269</v>
      </c>
      <c r="F1941">
        <v>2009</v>
      </c>
      <c r="G1941" t="s">
        <v>9553</v>
      </c>
      <c r="H1941" t="s">
        <v>9554</v>
      </c>
      <c r="I1941" t="s">
        <v>9555</v>
      </c>
      <c r="J1941" t="s">
        <v>26</v>
      </c>
      <c r="K1941" t="s">
        <v>27</v>
      </c>
      <c r="L1941" t="b">
        <v>1</v>
      </c>
      <c r="M1941" t="s">
        <v>9556</v>
      </c>
      <c r="N1941" t="str">
        <f>"620.1/98"</f>
        <v>620.1/98</v>
      </c>
      <c r="P1941" t="b">
        <v>0</v>
      </c>
      <c r="Q1941" t="b">
        <v>0</v>
      </c>
      <c r="R1941" t="str">
        <f>"9781606924679"</f>
        <v>9781606924679</v>
      </c>
      <c r="S1941" t="str">
        <f>"9781614703341"</f>
        <v>9781614703341</v>
      </c>
      <c r="T1941">
        <v>759117211</v>
      </c>
    </row>
    <row r="1942" spans="1:20" x14ac:dyDescent="0.25">
      <c r="A1942">
        <v>390315</v>
      </c>
      <c r="B1942" t="s">
        <v>9557</v>
      </c>
      <c r="C1942" t="s">
        <v>9558</v>
      </c>
      <c r="D1942" t="s">
        <v>131</v>
      </c>
      <c r="E1942" t="s">
        <v>1885</v>
      </c>
      <c r="F1942">
        <v>2012</v>
      </c>
      <c r="G1942" t="s">
        <v>9559</v>
      </c>
      <c r="H1942" t="s">
        <v>9560</v>
      </c>
      <c r="I1942" t="s">
        <v>9561</v>
      </c>
      <c r="J1942" t="s">
        <v>26</v>
      </c>
      <c r="K1942" t="s">
        <v>86</v>
      </c>
      <c r="L1942" t="b">
        <v>1</v>
      </c>
      <c r="M1942" t="s">
        <v>9562</v>
      </c>
      <c r="N1942" t="str">
        <f>"398.24/54"</f>
        <v>398.24/54</v>
      </c>
      <c r="P1942" t="b">
        <v>0</v>
      </c>
      <c r="Q1942" t="b">
        <v>0</v>
      </c>
      <c r="R1942" t="str">
        <f>"9781578593675"</f>
        <v>9781578593675</v>
      </c>
      <c r="S1942" t="str">
        <f>"9781578593781"</f>
        <v>9781578593781</v>
      </c>
      <c r="T1942">
        <v>759158619</v>
      </c>
    </row>
    <row r="1943" spans="1:20" x14ac:dyDescent="0.25">
      <c r="A1943">
        <v>388680</v>
      </c>
      <c r="B1943" t="s">
        <v>9563</v>
      </c>
      <c r="C1943" t="s">
        <v>9564</v>
      </c>
      <c r="D1943" t="s">
        <v>9565</v>
      </c>
      <c r="E1943" t="s">
        <v>9566</v>
      </c>
      <c r="F1943">
        <v>2007</v>
      </c>
      <c r="G1943" t="s">
        <v>7509</v>
      </c>
      <c r="H1943" t="s">
        <v>9567</v>
      </c>
      <c r="I1943" t="s">
        <v>9568</v>
      </c>
      <c r="J1943" t="s">
        <v>26</v>
      </c>
      <c r="K1943" t="s">
        <v>27</v>
      </c>
      <c r="L1943" t="b">
        <v>1</v>
      </c>
      <c r="M1943" t="s">
        <v>9569</v>
      </c>
      <c r="N1943" t="str">
        <f>"364.152/4092"</f>
        <v>364.152/4092</v>
      </c>
      <c r="P1943" t="b">
        <v>0</v>
      </c>
      <c r="R1943" t="str">
        <f>"9781597970792"</f>
        <v>9781597970792</v>
      </c>
      <c r="S1943" t="str">
        <f>"9781597974592"</f>
        <v>9781597974592</v>
      </c>
      <c r="T1943">
        <v>755585224</v>
      </c>
    </row>
    <row r="1944" spans="1:20" x14ac:dyDescent="0.25">
      <c r="A1944">
        <v>388398</v>
      </c>
      <c r="B1944" t="s">
        <v>9570</v>
      </c>
      <c r="C1944" t="s">
        <v>9571</v>
      </c>
      <c r="D1944" t="s">
        <v>9418</v>
      </c>
      <c r="E1944" t="s">
        <v>2143</v>
      </c>
      <c r="F1944">
        <v>2004</v>
      </c>
      <c r="G1944" t="s">
        <v>2145</v>
      </c>
      <c r="H1944" t="s">
        <v>9572</v>
      </c>
      <c r="I1944" t="s">
        <v>9573</v>
      </c>
      <c r="J1944" t="s">
        <v>26</v>
      </c>
      <c r="K1944" t="s">
        <v>27</v>
      </c>
      <c r="L1944" t="b">
        <v>1</v>
      </c>
      <c r="M1944" t="s">
        <v>9574</v>
      </c>
      <c r="N1944" t="str">
        <f>"155.965"</f>
        <v>155.965</v>
      </c>
      <c r="O1944" t="s">
        <v>9575</v>
      </c>
      <c r="P1944" t="b">
        <v>0</v>
      </c>
      <c r="S1944" t="str">
        <f>"9781849404211"</f>
        <v>9781849404211</v>
      </c>
      <c r="T1944">
        <v>753966142</v>
      </c>
    </row>
    <row r="1945" spans="1:20" x14ac:dyDescent="0.25">
      <c r="A1945">
        <v>388207</v>
      </c>
      <c r="B1945" t="s">
        <v>9576</v>
      </c>
      <c r="C1945" t="s">
        <v>9577</v>
      </c>
      <c r="D1945" t="s">
        <v>1364</v>
      </c>
      <c r="E1945" t="s">
        <v>1364</v>
      </c>
      <c r="F1945">
        <v>2011</v>
      </c>
      <c r="G1945" t="s">
        <v>856</v>
      </c>
      <c r="H1945" t="s">
        <v>9578</v>
      </c>
      <c r="I1945" t="s">
        <v>9579</v>
      </c>
      <c r="J1945" t="s">
        <v>26</v>
      </c>
      <c r="K1945" t="s">
        <v>27</v>
      </c>
      <c r="L1945" t="b">
        <v>1</v>
      </c>
      <c r="M1945" t="s">
        <v>9580</v>
      </c>
      <c r="N1945" t="str">
        <f>"320.01/1"</f>
        <v>320.01/1</v>
      </c>
      <c r="P1945" t="b">
        <v>0</v>
      </c>
      <c r="R1945" t="str">
        <f>"9783110245738"</f>
        <v>9783110245738</v>
      </c>
      <c r="S1945" t="str">
        <f>"9783110245745"</f>
        <v>9783110245745</v>
      </c>
      <c r="T1945">
        <v>754793855</v>
      </c>
    </row>
    <row r="1946" spans="1:20" x14ac:dyDescent="0.25">
      <c r="A1946">
        <v>387481</v>
      </c>
      <c r="B1946" t="s">
        <v>9581</v>
      </c>
      <c r="D1946" t="s">
        <v>2269</v>
      </c>
      <c r="E1946" t="s">
        <v>2269</v>
      </c>
      <c r="F1946">
        <v>2009</v>
      </c>
      <c r="G1946" t="s">
        <v>9582</v>
      </c>
      <c r="H1946" t="s">
        <v>9583</v>
      </c>
      <c r="I1946" t="s">
        <v>9584</v>
      </c>
      <c r="J1946" t="s">
        <v>26</v>
      </c>
      <c r="K1946" t="s">
        <v>27</v>
      </c>
      <c r="L1946" t="b">
        <v>1</v>
      </c>
      <c r="M1946" t="s">
        <v>9585</v>
      </c>
      <c r="N1946" t="str">
        <f>"546/.41"</f>
        <v>546/.41</v>
      </c>
      <c r="P1946" t="b">
        <v>0</v>
      </c>
      <c r="Q1946" t="b">
        <v>0</v>
      </c>
      <c r="R1946" t="str">
        <f>"9781606921371"</f>
        <v>9781606921371</v>
      </c>
      <c r="S1946" t="str">
        <f>"9781614707288"</f>
        <v>9781614707288</v>
      </c>
      <c r="T1946">
        <v>756786429</v>
      </c>
    </row>
    <row r="1947" spans="1:20" x14ac:dyDescent="0.25">
      <c r="A1947">
        <v>387480</v>
      </c>
      <c r="B1947" t="s">
        <v>9586</v>
      </c>
      <c r="D1947" t="s">
        <v>2269</v>
      </c>
      <c r="E1947" t="s">
        <v>2269</v>
      </c>
      <c r="F1947">
        <v>2009</v>
      </c>
      <c r="G1947" t="s">
        <v>9587</v>
      </c>
      <c r="H1947" t="s">
        <v>9588</v>
      </c>
      <c r="I1947" t="s">
        <v>9589</v>
      </c>
      <c r="J1947" t="s">
        <v>26</v>
      </c>
      <c r="K1947" t="s">
        <v>27</v>
      </c>
      <c r="L1947" t="b">
        <v>1</v>
      </c>
      <c r="M1947" t="s">
        <v>9590</v>
      </c>
      <c r="N1947" t="str">
        <f>"515/.732"</f>
        <v>515/.732</v>
      </c>
      <c r="P1947" t="b">
        <v>0</v>
      </c>
      <c r="Q1947" t="b">
        <v>0</v>
      </c>
      <c r="R1947" t="str">
        <f>"9781606927342"</f>
        <v>9781606927342</v>
      </c>
      <c r="S1947" t="str">
        <f>"9781614707271"</f>
        <v>9781614707271</v>
      </c>
      <c r="T1947">
        <v>756215354</v>
      </c>
    </row>
    <row r="1948" spans="1:20" x14ac:dyDescent="0.25">
      <c r="A1948">
        <v>387478</v>
      </c>
      <c r="B1948" t="s">
        <v>9591</v>
      </c>
      <c r="C1948" t="s">
        <v>9592</v>
      </c>
      <c r="D1948" t="s">
        <v>2269</v>
      </c>
      <c r="E1948" t="s">
        <v>2269</v>
      </c>
      <c r="F1948">
        <v>2009</v>
      </c>
      <c r="G1948" t="s">
        <v>9593</v>
      </c>
      <c r="H1948" t="s">
        <v>9594</v>
      </c>
      <c r="I1948" t="s">
        <v>9595</v>
      </c>
      <c r="J1948" t="s">
        <v>26</v>
      </c>
      <c r="K1948" t="s">
        <v>27</v>
      </c>
      <c r="L1948" t="b">
        <v>1</v>
      </c>
      <c r="M1948" t="s">
        <v>9596</v>
      </c>
      <c r="N1948" t="str">
        <f>"537.6/226"</f>
        <v>537.6/226</v>
      </c>
      <c r="P1948" t="b">
        <v>0</v>
      </c>
      <c r="Q1948" t="b">
        <v>0</v>
      </c>
      <c r="R1948" t="str">
        <f>"9781606925577"</f>
        <v>9781606925577</v>
      </c>
      <c r="S1948" t="str">
        <f>"9781614707233"</f>
        <v>9781614707233</v>
      </c>
      <c r="T1948">
        <v>753966150</v>
      </c>
    </row>
    <row r="1949" spans="1:20" x14ac:dyDescent="0.25">
      <c r="A1949">
        <v>387477</v>
      </c>
      <c r="B1949" t="s">
        <v>9597</v>
      </c>
      <c r="D1949" t="s">
        <v>2269</v>
      </c>
      <c r="E1949" t="s">
        <v>2269</v>
      </c>
      <c r="F1949">
        <v>2009</v>
      </c>
      <c r="G1949" t="s">
        <v>9598</v>
      </c>
      <c r="H1949" t="s">
        <v>9599</v>
      </c>
      <c r="I1949" t="s">
        <v>9600</v>
      </c>
      <c r="J1949" t="s">
        <v>26</v>
      </c>
      <c r="K1949" t="s">
        <v>27</v>
      </c>
      <c r="L1949" t="b">
        <v>1</v>
      </c>
      <c r="M1949" t="s">
        <v>9601</v>
      </c>
      <c r="N1949" t="str">
        <f>"515/.353"</f>
        <v>515/.353</v>
      </c>
      <c r="P1949" t="b">
        <v>0</v>
      </c>
      <c r="Q1949" t="b">
        <v>0</v>
      </c>
      <c r="R1949" t="str">
        <f>"9781606922941"</f>
        <v>9781606922941</v>
      </c>
      <c r="S1949" t="str">
        <f>"9781614707226"</f>
        <v>9781614707226</v>
      </c>
      <c r="T1949">
        <v>756675541</v>
      </c>
    </row>
    <row r="1950" spans="1:20" x14ac:dyDescent="0.25">
      <c r="A1950">
        <v>387226</v>
      </c>
      <c r="B1950" t="s">
        <v>9602</v>
      </c>
      <c r="D1950" t="s">
        <v>2269</v>
      </c>
      <c r="E1950" t="s">
        <v>9542</v>
      </c>
      <c r="F1950">
        <v>2009</v>
      </c>
      <c r="G1950" t="s">
        <v>4788</v>
      </c>
      <c r="H1950" t="s">
        <v>9603</v>
      </c>
      <c r="I1950" t="s">
        <v>9604</v>
      </c>
      <c r="J1950" t="s">
        <v>26</v>
      </c>
      <c r="K1950" t="s">
        <v>27</v>
      </c>
      <c r="L1950" t="b">
        <v>1</v>
      </c>
      <c r="M1950" t="s">
        <v>9605</v>
      </c>
      <c r="N1950" t="str">
        <f>"515.7246"</f>
        <v>515.7246</v>
      </c>
      <c r="P1950" t="b">
        <v>0</v>
      </c>
      <c r="R1950" t="str">
        <f>"9781604564945"</f>
        <v>9781604564945</v>
      </c>
      <c r="S1950" t="str">
        <f>"9781614705611"</f>
        <v>9781614705611</v>
      </c>
      <c r="T1950">
        <v>751977960</v>
      </c>
    </row>
    <row r="1951" spans="1:20" x14ac:dyDescent="0.25">
      <c r="A1951">
        <v>387224</v>
      </c>
      <c r="B1951" t="s">
        <v>9606</v>
      </c>
      <c r="C1951" t="s">
        <v>9607</v>
      </c>
      <c r="D1951" t="s">
        <v>2269</v>
      </c>
      <c r="E1951" t="s">
        <v>2269</v>
      </c>
      <c r="F1951">
        <v>2009</v>
      </c>
      <c r="G1951" t="s">
        <v>9608</v>
      </c>
      <c r="H1951" t="s">
        <v>9609</v>
      </c>
      <c r="I1951" t="s">
        <v>9610</v>
      </c>
      <c r="J1951" t="s">
        <v>26</v>
      </c>
      <c r="K1951" t="s">
        <v>27</v>
      </c>
      <c r="L1951" t="b">
        <v>1</v>
      </c>
      <c r="M1951" t="s">
        <v>9611</v>
      </c>
      <c r="N1951" t="str">
        <f>"616.07/5"</f>
        <v>616.07/5</v>
      </c>
      <c r="P1951" t="b">
        <v>0</v>
      </c>
      <c r="Q1951" t="b">
        <v>0</v>
      </c>
      <c r="R1951" t="str">
        <f>"9781606927373"</f>
        <v>9781606927373</v>
      </c>
      <c r="S1951" t="str">
        <f>"9781614706076"</f>
        <v>9781614706076</v>
      </c>
      <c r="T1951">
        <v>751978016</v>
      </c>
    </row>
    <row r="1952" spans="1:20" x14ac:dyDescent="0.25">
      <c r="A1952">
        <v>387223</v>
      </c>
      <c r="B1952" t="s">
        <v>9612</v>
      </c>
      <c r="D1952" t="s">
        <v>2269</v>
      </c>
      <c r="E1952" t="s">
        <v>2269</v>
      </c>
      <c r="F1952">
        <v>2009</v>
      </c>
      <c r="G1952" t="s">
        <v>303</v>
      </c>
      <c r="H1952" t="s">
        <v>9613</v>
      </c>
      <c r="I1952" t="s">
        <v>9614</v>
      </c>
      <c r="J1952" t="s">
        <v>26</v>
      </c>
      <c r="K1952" t="s">
        <v>27</v>
      </c>
      <c r="L1952" t="b">
        <v>1</v>
      </c>
      <c r="M1952" t="s">
        <v>9615</v>
      </c>
      <c r="N1952" t="str">
        <f>"662.6/22"</f>
        <v>662.6/22</v>
      </c>
      <c r="P1952" t="b">
        <v>0</v>
      </c>
      <c r="Q1952" t="b">
        <v>0</v>
      </c>
      <c r="R1952" t="str">
        <f>"9781607411840"</f>
        <v>9781607411840</v>
      </c>
      <c r="S1952" t="str">
        <f>"9781614706052"</f>
        <v>9781614706052</v>
      </c>
      <c r="T1952">
        <v>751978891</v>
      </c>
    </row>
    <row r="1953" spans="1:20" x14ac:dyDescent="0.25">
      <c r="A1953">
        <v>387206</v>
      </c>
      <c r="B1953" t="s">
        <v>9616</v>
      </c>
      <c r="C1953" t="s">
        <v>9617</v>
      </c>
      <c r="D1953" t="s">
        <v>2269</v>
      </c>
      <c r="E1953" t="s">
        <v>2269</v>
      </c>
      <c r="F1953">
        <v>2009</v>
      </c>
      <c r="G1953" t="s">
        <v>9618</v>
      </c>
      <c r="H1953" t="s">
        <v>9619</v>
      </c>
      <c r="I1953" t="s">
        <v>9620</v>
      </c>
      <c r="J1953" t="s">
        <v>26</v>
      </c>
      <c r="K1953" t="s">
        <v>27</v>
      </c>
      <c r="L1953" t="b">
        <v>1</v>
      </c>
      <c r="M1953" t="s">
        <v>9621</v>
      </c>
      <c r="N1953" t="str">
        <f>"362.17830973"</f>
        <v>362.17830973</v>
      </c>
      <c r="P1953" t="b">
        <v>0</v>
      </c>
      <c r="Q1953" t="b">
        <v>0</v>
      </c>
      <c r="R1953" t="str">
        <f>"9781606925010"</f>
        <v>9781606925010</v>
      </c>
      <c r="S1953" t="str">
        <f>"9781614704836"</f>
        <v>9781614704836</v>
      </c>
      <c r="T1953">
        <v>759116926</v>
      </c>
    </row>
    <row r="1954" spans="1:20" x14ac:dyDescent="0.25">
      <c r="A1954">
        <v>387205</v>
      </c>
      <c r="B1954" t="s">
        <v>9622</v>
      </c>
      <c r="D1954" t="s">
        <v>2269</v>
      </c>
      <c r="E1954" t="s">
        <v>2269</v>
      </c>
      <c r="F1954">
        <v>2009</v>
      </c>
      <c r="G1954" t="s">
        <v>9623</v>
      </c>
      <c r="H1954" t="s">
        <v>9624</v>
      </c>
      <c r="I1954" t="s">
        <v>9625</v>
      </c>
      <c r="J1954" t="s">
        <v>26</v>
      </c>
      <c r="K1954" t="s">
        <v>27</v>
      </c>
      <c r="L1954" t="b">
        <v>1</v>
      </c>
      <c r="M1954" t="s">
        <v>9626</v>
      </c>
      <c r="N1954" t="str">
        <f>"617.6/01"</f>
        <v>617.6/01</v>
      </c>
      <c r="P1954" t="b">
        <v>0</v>
      </c>
      <c r="Q1954" t="b">
        <v>0</v>
      </c>
      <c r="R1954" t="str">
        <f>"9781606929414"</f>
        <v>9781606929414</v>
      </c>
      <c r="S1954" t="str">
        <f>"9781614704829"</f>
        <v>9781614704829</v>
      </c>
      <c r="T1954">
        <v>751978320</v>
      </c>
    </row>
    <row r="1955" spans="1:20" x14ac:dyDescent="0.25">
      <c r="A1955">
        <v>387204</v>
      </c>
      <c r="B1955" t="s">
        <v>9627</v>
      </c>
      <c r="D1955" t="s">
        <v>2269</v>
      </c>
      <c r="E1955" t="s">
        <v>2269</v>
      </c>
      <c r="F1955">
        <v>2009</v>
      </c>
      <c r="G1955" t="s">
        <v>4670</v>
      </c>
      <c r="H1955" t="s">
        <v>9628</v>
      </c>
      <c r="I1955" t="s">
        <v>9629</v>
      </c>
      <c r="J1955" t="s">
        <v>26</v>
      </c>
      <c r="K1955" t="s">
        <v>27</v>
      </c>
      <c r="L1955" t="b">
        <v>1</v>
      </c>
      <c r="M1955" t="s">
        <v>9630</v>
      </c>
      <c r="N1955" t="str">
        <f>"530.4/27"</f>
        <v>530.4/27</v>
      </c>
      <c r="P1955" t="b">
        <v>0</v>
      </c>
      <c r="Q1955" t="b">
        <v>0</v>
      </c>
      <c r="R1955" t="str">
        <f>"9781606924310"</f>
        <v>9781606924310</v>
      </c>
      <c r="S1955" t="str">
        <f>"9781614704782"</f>
        <v>9781614704782</v>
      </c>
      <c r="T1955">
        <v>751978909</v>
      </c>
    </row>
    <row r="1956" spans="1:20" x14ac:dyDescent="0.25">
      <c r="A1956">
        <v>387203</v>
      </c>
      <c r="B1956" t="s">
        <v>9631</v>
      </c>
      <c r="D1956" t="s">
        <v>2269</v>
      </c>
      <c r="E1956" t="s">
        <v>2269</v>
      </c>
      <c r="F1956">
        <v>2009</v>
      </c>
      <c r="G1956" t="s">
        <v>8669</v>
      </c>
      <c r="H1956" t="s">
        <v>9632</v>
      </c>
      <c r="I1956" t="s">
        <v>9633</v>
      </c>
      <c r="J1956" t="s">
        <v>26</v>
      </c>
      <c r="K1956" t="s">
        <v>27</v>
      </c>
      <c r="L1956" t="b">
        <v>1</v>
      </c>
      <c r="M1956" t="s">
        <v>9634</v>
      </c>
      <c r="N1956" t="str">
        <f>"362.19699449"</f>
        <v>362.19699449</v>
      </c>
      <c r="P1956" t="b">
        <v>0</v>
      </c>
      <c r="Q1956" t="b">
        <v>0</v>
      </c>
      <c r="R1956" t="str">
        <f>"9781606925942"</f>
        <v>9781606925942</v>
      </c>
      <c r="S1956" t="str">
        <f>"9781614704775"</f>
        <v>9781614704775</v>
      </c>
      <c r="T1956">
        <v>751978898</v>
      </c>
    </row>
    <row r="1957" spans="1:20" x14ac:dyDescent="0.25">
      <c r="A1957">
        <v>387202</v>
      </c>
      <c r="B1957" t="s">
        <v>9635</v>
      </c>
      <c r="D1957" t="s">
        <v>2269</v>
      </c>
      <c r="E1957" t="s">
        <v>2269</v>
      </c>
      <c r="F1957">
        <v>2009</v>
      </c>
      <c r="G1957" t="s">
        <v>8669</v>
      </c>
      <c r="H1957" t="s">
        <v>9636</v>
      </c>
      <c r="I1957" t="s">
        <v>9637</v>
      </c>
      <c r="J1957" t="s">
        <v>26</v>
      </c>
      <c r="K1957" t="s">
        <v>27</v>
      </c>
      <c r="L1957" t="b">
        <v>1</v>
      </c>
      <c r="M1957" t="s">
        <v>9638</v>
      </c>
      <c r="N1957" t="str">
        <f>"616.99/491059"</f>
        <v>616.99/491059</v>
      </c>
      <c r="P1957" t="b">
        <v>0</v>
      </c>
      <c r="Q1957" t="b">
        <v>0</v>
      </c>
      <c r="R1957" t="str">
        <f>"9781606927328"</f>
        <v>9781606927328</v>
      </c>
      <c r="S1957" t="str">
        <f>"9781614704751"</f>
        <v>9781614704751</v>
      </c>
      <c r="T1957">
        <v>756677806</v>
      </c>
    </row>
    <row r="1958" spans="1:20" x14ac:dyDescent="0.25">
      <c r="A1958">
        <v>387199</v>
      </c>
      <c r="B1958" t="s">
        <v>9639</v>
      </c>
      <c r="D1958" t="s">
        <v>2269</v>
      </c>
      <c r="E1958" t="s">
        <v>2269</v>
      </c>
      <c r="F1958">
        <v>2009</v>
      </c>
      <c r="G1958" t="s">
        <v>540</v>
      </c>
      <c r="H1958" t="s">
        <v>9640</v>
      </c>
      <c r="I1958" t="s">
        <v>9641</v>
      </c>
      <c r="J1958" t="s">
        <v>26</v>
      </c>
      <c r="K1958" t="s">
        <v>27</v>
      </c>
      <c r="L1958" t="b">
        <v>1</v>
      </c>
      <c r="M1958" t="s">
        <v>9642</v>
      </c>
      <c r="N1958" t="str">
        <f>"363.738/2"</f>
        <v>363.738/2</v>
      </c>
      <c r="P1958" t="b">
        <v>0</v>
      </c>
      <c r="Q1958" t="b">
        <v>0</v>
      </c>
      <c r="R1958" t="str">
        <f>"9781606921197"</f>
        <v>9781606921197</v>
      </c>
      <c r="S1958" t="str">
        <f>"9781614704706"</f>
        <v>9781614704706</v>
      </c>
      <c r="T1958">
        <v>751978859</v>
      </c>
    </row>
    <row r="1959" spans="1:20" x14ac:dyDescent="0.25">
      <c r="A1959">
        <v>387197</v>
      </c>
      <c r="B1959" t="s">
        <v>9643</v>
      </c>
      <c r="D1959" t="s">
        <v>2269</v>
      </c>
      <c r="E1959" t="s">
        <v>2269</v>
      </c>
      <c r="F1959">
        <v>2009</v>
      </c>
      <c r="G1959" t="s">
        <v>5739</v>
      </c>
      <c r="H1959" t="s">
        <v>9644</v>
      </c>
      <c r="I1959" t="s">
        <v>9645</v>
      </c>
      <c r="J1959" t="s">
        <v>26</v>
      </c>
      <c r="K1959" t="s">
        <v>27</v>
      </c>
      <c r="L1959" t="b">
        <v>1</v>
      </c>
      <c r="M1959" t="s">
        <v>9646</v>
      </c>
      <c r="N1959" t="str">
        <f>"641.3"</f>
        <v>641.3</v>
      </c>
      <c r="O1959" t="s">
        <v>9647</v>
      </c>
      <c r="P1959" t="b">
        <v>0</v>
      </c>
      <c r="Q1959" t="b">
        <v>0</v>
      </c>
      <c r="R1959" t="str">
        <f>"9781606929834"</f>
        <v>9781606929834</v>
      </c>
      <c r="S1959" t="str">
        <f>"9781614704515"</f>
        <v>9781614704515</v>
      </c>
      <c r="T1959">
        <v>751978831</v>
      </c>
    </row>
    <row r="1960" spans="1:20" x14ac:dyDescent="0.25">
      <c r="A1960">
        <v>386717</v>
      </c>
      <c r="B1960" t="s">
        <v>9648</v>
      </c>
      <c r="C1960" t="s">
        <v>9649</v>
      </c>
      <c r="D1960" t="s">
        <v>9650</v>
      </c>
      <c r="E1960" t="s">
        <v>9651</v>
      </c>
      <c r="F1960">
        <v>2012</v>
      </c>
      <c r="G1960" t="s">
        <v>9652</v>
      </c>
      <c r="H1960" t="s">
        <v>9653</v>
      </c>
      <c r="I1960" t="s">
        <v>9654</v>
      </c>
      <c r="J1960" t="s">
        <v>26</v>
      </c>
      <c r="K1960" t="s">
        <v>27</v>
      </c>
      <c r="L1960" t="b">
        <v>0</v>
      </c>
      <c r="M1960" t="s">
        <v>9655</v>
      </c>
      <c r="N1960" t="str">
        <f>"629.45/4"</f>
        <v>629.45/4</v>
      </c>
      <c r="O1960" t="s">
        <v>9656</v>
      </c>
      <c r="P1960" t="b">
        <v>0</v>
      </c>
      <c r="R1960" t="str">
        <f>"9780761364368"</f>
        <v>9780761364368</v>
      </c>
      <c r="S1960" t="str">
        <f>"9780761380771"</f>
        <v>9780761380771</v>
      </c>
      <c r="T1960">
        <v>763204326</v>
      </c>
    </row>
    <row r="1961" spans="1:20" x14ac:dyDescent="0.25">
      <c r="A1961">
        <v>386702</v>
      </c>
      <c r="B1961" t="s">
        <v>9657</v>
      </c>
      <c r="C1961" t="s">
        <v>9658</v>
      </c>
      <c r="D1961" t="s">
        <v>9650</v>
      </c>
      <c r="E1961" t="s">
        <v>9651</v>
      </c>
      <c r="F1961">
        <v>2012</v>
      </c>
      <c r="G1961" t="s">
        <v>9659</v>
      </c>
      <c r="H1961" t="s">
        <v>9660</v>
      </c>
      <c r="I1961" t="s">
        <v>9661</v>
      </c>
      <c r="J1961" t="s">
        <v>26</v>
      </c>
      <c r="K1961" t="s">
        <v>27</v>
      </c>
      <c r="L1961" t="b">
        <v>0</v>
      </c>
      <c r="M1961" t="s">
        <v>9662</v>
      </c>
      <c r="N1961" t="str">
        <f>"001.9"</f>
        <v>001.9</v>
      </c>
      <c r="P1961" t="b">
        <v>0</v>
      </c>
      <c r="R1961" t="str">
        <f>"9780761373964"</f>
        <v>9780761373964</v>
      </c>
      <c r="S1961" t="str">
        <f>"9780761380474"</f>
        <v>9780761380474</v>
      </c>
      <c r="T1961">
        <v>753966040</v>
      </c>
    </row>
    <row r="1962" spans="1:20" x14ac:dyDescent="0.25">
      <c r="A1962">
        <v>386129</v>
      </c>
      <c r="B1962" t="s">
        <v>9663</v>
      </c>
      <c r="C1962" t="s">
        <v>9664</v>
      </c>
      <c r="D1962" t="s">
        <v>8237</v>
      </c>
      <c r="E1962" t="s">
        <v>8237</v>
      </c>
      <c r="F1962">
        <v>2008</v>
      </c>
      <c r="G1962" t="s">
        <v>8238</v>
      </c>
      <c r="H1962" t="s">
        <v>9665</v>
      </c>
      <c r="I1962" t="s">
        <v>9666</v>
      </c>
      <c r="J1962" t="s">
        <v>26</v>
      </c>
      <c r="K1962" t="s">
        <v>27</v>
      </c>
      <c r="L1962" t="b">
        <v>1</v>
      </c>
      <c r="M1962" t="s">
        <v>9667</v>
      </c>
      <c r="N1962" t="str">
        <f>"617.741"</f>
        <v>617.741</v>
      </c>
      <c r="O1962" t="s">
        <v>9668</v>
      </c>
      <c r="P1962" t="b">
        <v>0</v>
      </c>
      <c r="R1962" t="str">
        <f>"9789062992188"</f>
        <v>9789062992188</v>
      </c>
      <c r="S1962" t="str">
        <f>"9789062998494"</f>
        <v>9789062998494</v>
      </c>
      <c r="T1962">
        <v>758685026</v>
      </c>
    </row>
    <row r="1963" spans="1:20" x14ac:dyDescent="0.25">
      <c r="A1963">
        <v>386128</v>
      </c>
      <c r="B1963" t="s">
        <v>9669</v>
      </c>
      <c r="C1963" t="s">
        <v>9670</v>
      </c>
      <c r="D1963" t="s">
        <v>8237</v>
      </c>
      <c r="E1963" t="s">
        <v>8237</v>
      </c>
      <c r="F1963">
        <v>2008</v>
      </c>
      <c r="G1963" t="s">
        <v>8251</v>
      </c>
      <c r="H1963" t="s">
        <v>9671</v>
      </c>
      <c r="I1963" t="s">
        <v>9672</v>
      </c>
      <c r="J1963" t="s">
        <v>26</v>
      </c>
      <c r="K1963" t="s">
        <v>27</v>
      </c>
      <c r="L1963" t="b">
        <v>1</v>
      </c>
      <c r="M1963" t="s">
        <v>8254</v>
      </c>
      <c r="N1963" t="str">
        <f>"617.8/4059"</f>
        <v>617.8/4059</v>
      </c>
      <c r="P1963" t="b">
        <v>0</v>
      </c>
      <c r="R1963" t="str">
        <f>"9789062992164"</f>
        <v>9789062992164</v>
      </c>
      <c r="S1963" t="str">
        <f>"9789062998449"</f>
        <v>9789062998449</v>
      </c>
      <c r="T1963">
        <v>753572642</v>
      </c>
    </row>
    <row r="1964" spans="1:20" x14ac:dyDescent="0.25">
      <c r="A1964">
        <v>386127</v>
      </c>
      <c r="B1964" t="s">
        <v>9673</v>
      </c>
      <c r="C1964" t="s">
        <v>9674</v>
      </c>
      <c r="D1964" t="s">
        <v>8237</v>
      </c>
      <c r="E1964" t="s">
        <v>8237</v>
      </c>
      <c r="F1964">
        <v>2004</v>
      </c>
      <c r="H1964" t="s">
        <v>9675</v>
      </c>
      <c r="I1964" t="s">
        <v>9676</v>
      </c>
      <c r="J1964" t="s">
        <v>26</v>
      </c>
      <c r="K1964" t="s">
        <v>27</v>
      </c>
      <c r="L1964" t="b">
        <v>1</v>
      </c>
      <c r="M1964" t="s">
        <v>9677</v>
      </c>
      <c r="N1964" t="str">
        <f>"617.7/15"</f>
        <v>617.7/15</v>
      </c>
      <c r="O1964" t="s">
        <v>9678</v>
      </c>
      <c r="P1964" t="b">
        <v>0</v>
      </c>
      <c r="R1964" t="str">
        <f>"9789062991990"</f>
        <v>9789062991990</v>
      </c>
      <c r="S1964" t="str">
        <f>"9789062997428"</f>
        <v>9789062997428</v>
      </c>
      <c r="T1964">
        <v>753563723</v>
      </c>
    </row>
    <row r="1965" spans="1:20" x14ac:dyDescent="0.25">
      <c r="A1965">
        <v>385758</v>
      </c>
      <c r="B1965" t="s">
        <v>9679</v>
      </c>
      <c r="D1965" t="s">
        <v>8237</v>
      </c>
      <c r="E1965" t="s">
        <v>8237</v>
      </c>
      <c r="F1965">
        <v>1999</v>
      </c>
      <c r="G1965" t="s">
        <v>8251</v>
      </c>
      <c r="H1965" t="s">
        <v>9680</v>
      </c>
      <c r="I1965" t="s">
        <v>9681</v>
      </c>
      <c r="J1965" t="s">
        <v>26</v>
      </c>
      <c r="K1965" t="s">
        <v>27</v>
      </c>
      <c r="L1965" t="b">
        <v>1</v>
      </c>
      <c r="M1965" t="s">
        <v>9682</v>
      </c>
      <c r="N1965" t="str">
        <f>"617.8/82"</f>
        <v>617.8/82</v>
      </c>
      <c r="P1965" t="b">
        <v>0</v>
      </c>
      <c r="R1965" t="str">
        <f>"9789062991624"</f>
        <v>9789062991624</v>
      </c>
      <c r="S1965" t="str">
        <f>"9789062997763"</f>
        <v>9789062997763</v>
      </c>
      <c r="T1965">
        <v>753565326</v>
      </c>
    </row>
    <row r="1966" spans="1:20" x14ac:dyDescent="0.25">
      <c r="A1966">
        <v>385756</v>
      </c>
      <c r="B1966" t="s">
        <v>9683</v>
      </c>
      <c r="C1966" t="s">
        <v>9684</v>
      </c>
      <c r="D1966" t="s">
        <v>8237</v>
      </c>
      <c r="E1966" t="s">
        <v>8237</v>
      </c>
      <c r="F1966">
        <v>1999</v>
      </c>
      <c r="H1966" t="s">
        <v>9685</v>
      </c>
      <c r="I1966" t="s">
        <v>9676</v>
      </c>
      <c r="J1966" t="s">
        <v>26</v>
      </c>
      <c r="K1966" t="s">
        <v>27</v>
      </c>
      <c r="L1966" t="b">
        <v>1</v>
      </c>
      <c r="M1966" t="s">
        <v>9686</v>
      </c>
      <c r="N1966" t="str">
        <f>"617.7/15"</f>
        <v>617.7/15</v>
      </c>
      <c r="P1966" t="b">
        <v>0</v>
      </c>
      <c r="R1966" t="str">
        <f>"9789062991556"</f>
        <v>9789062991556</v>
      </c>
      <c r="S1966" t="str">
        <f>"9789062997756"</f>
        <v>9789062997756</v>
      </c>
      <c r="T1966">
        <v>753563255</v>
      </c>
    </row>
    <row r="1967" spans="1:20" x14ac:dyDescent="0.25">
      <c r="A1967">
        <v>385752</v>
      </c>
      <c r="B1967" t="s">
        <v>9687</v>
      </c>
      <c r="C1967" t="s">
        <v>9688</v>
      </c>
      <c r="D1967" t="s">
        <v>8237</v>
      </c>
      <c r="E1967" t="s">
        <v>8237</v>
      </c>
      <c r="F1967">
        <v>2000</v>
      </c>
      <c r="G1967" t="s">
        <v>9689</v>
      </c>
      <c r="H1967" t="s">
        <v>9690</v>
      </c>
      <c r="I1967" t="s">
        <v>9691</v>
      </c>
      <c r="J1967" t="s">
        <v>26</v>
      </c>
      <c r="K1967" t="s">
        <v>27</v>
      </c>
      <c r="L1967" t="b">
        <v>1</v>
      </c>
      <c r="M1967" t="s">
        <v>9692</v>
      </c>
      <c r="N1967" t="str">
        <f>"617.9/52"</f>
        <v>617.9/52</v>
      </c>
      <c r="P1967" t="b">
        <v>0</v>
      </c>
      <c r="R1967" t="str">
        <f>"9789062991778"</f>
        <v>9789062991778</v>
      </c>
      <c r="S1967" t="str">
        <f>"9789062997879"</f>
        <v>9789062997879</v>
      </c>
      <c r="T1967">
        <v>803583761</v>
      </c>
    </row>
    <row r="1968" spans="1:20" x14ac:dyDescent="0.25">
      <c r="A1968">
        <v>385750</v>
      </c>
      <c r="B1968" t="s">
        <v>9693</v>
      </c>
      <c r="D1968" t="s">
        <v>8237</v>
      </c>
      <c r="E1968" t="s">
        <v>8237</v>
      </c>
      <c r="F1968">
        <v>2000</v>
      </c>
      <c r="G1968" t="s">
        <v>9694</v>
      </c>
      <c r="H1968" t="s">
        <v>9695</v>
      </c>
      <c r="I1968" t="s">
        <v>9696</v>
      </c>
      <c r="J1968" t="s">
        <v>26</v>
      </c>
      <c r="K1968" t="s">
        <v>27</v>
      </c>
      <c r="L1968" t="b">
        <v>1</v>
      </c>
      <c r="M1968" t="s">
        <v>9697</v>
      </c>
      <c r="N1968" t="str">
        <f>"617.8/82"</f>
        <v>617.8/82</v>
      </c>
      <c r="P1968" t="b">
        <v>0</v>
      </c>
      <c r="R1968" t="str">
        <f>"9789062991785"</f>
        <v>9789062991785</v>
      </c>
      <c r="S1968" t="str">
        <f>"9789062998043"</f>
        <v>9789062998043</v>
      </c>
      <c r="T1968">
        <v>753566588</v>
      </c>
    </row>
    <row r="1969" spans="1:20" x14ac:dyDescent="0.25">
      <c r="A1969">
        <v>385748</v>
      </c>
      <c r="B1969" t="s">
        <v>9698</v>
      </c>
      <c r="C1969" t="s">
        <v>9699</v>
      </c>
      <c r="D1969" t="s">
        <v>8237</v>
      </c>
      <c r="E1969" t="s">
        <v>8237</v>
      </c>
      <c r="F1969">
        <v>2001</v>
      </c>
      <c r="H1969" t="s">
        <v>9700</v>
      </c>
      <c r="I1969" t="s">
        <v>9701</v>
      </c>
      <c r="J1969" t="s">
        <v>26</v>
      </c>
      <c r="K1969" t="s">
        <v>27</v>
      </c>
      <c r="L1969" t="b">
        <v>1</v>
      </c>
      <c r="M1969" t="s">
        <v>9702</v>
      </c>
      <c r="N1969" t="str">
        <f>"616.85/56"</f>
        <v>616.85/56</v>
      </c>
      <c r="P1969" t="b">
        <v>0</v>
      </c>
      <c r="R1969" t="str">
        <f>"9789062991792"</f>
        <v>9789062991792</v>
      </c>
      <c r="S1969" t="str">
        <f>"9789062997985"</f>
        <v>9789062997985</v>
      </c>
      <c r="T1969">
        <v>753565314</v>
      </c>
    </row>
    <row r="1970" spans="1:20" x14ac:dyDescent="0.25">
      <c r="A1970">
        <v>385740</v>
      </c>
      <c r="B1970" t="s">
        <v>9703</v>
      </c>
      <c r="D1970" t="s">
        <v>8237</v>
      </c>
      <c r="E1970" t="s">
        <v>8237</v>
      </c>
      <c r="F1970">
        <v>2002</v>
      </c>
      <c r="G1970" t="s">
        <v>9704</v>
      </c>
      <c r="H1970" t="s">
        <v>9705</v>
      </c>
      <c r="I1970" t="s">
        <v>9706</v>
      </c>
      <c r="J1970" t="s">
        <v>26</v>
      </c>
      <c r="K1970" t="s">
        <v>27</v>
      </c>
      <c r="L1970" t="b">
        <v>1</v>
      </c>
      <c r="M1970" t="s">
        <v>9707</v>
      </c>
      <c r="N1970" t="str">
        <f>"617.05"</f>
        <v>617.05</v>
      </c>
      <c r="P1970" t="b">
        <v>0</v>
      </c>
      <c r="R1970" t="str">
        <f>"9789062991921"</f>
        <v>9789062991921</v>
      </c>
      <c r="S1970" t="str">
        <f>"9789062997930"</f>
        <v>9789062997930</v>
      </c>
      <c r="T1970">
        <v>763161107</v>
      </c>
    </row>
    <row r="1971" spans="1:20" x14ac:dyDescent="0.25">
      <c r="A1971">
        <v>385739</v>
      </c>
      <c r="B1971" t="s">
        <v>9708</v>
      </c>
      <c r="D1971" t="s">
        <v>8237</v>
      </c>
      <c r="E1971" t="s">
        <v>8237</v>
      </c>
      <c r="F1971">
        <v>2002</v>
      </c>
      <c r="G1971" t="s">
        <v>8251</v>
      </c>
      <c r="H1971" t="s">
        <v>9709</v>
      </c>
      <c r="I1971" t="s">
        <v>9710</v>
      </c>
      <c r="J1971" t="s">
        <v>26</v>
      </c>
      <c r="K1971" t="s">
        <v>27</v>
      </c>
      <c r="L1971" t="b">
        <v>1</v>
      </c>
      <c r="M1971" t="s">
        <v>9711</v>
      </c>
      <c r="N1971" t="str">
        <f>"617.8/059"</f>
        <v>617.8/059</v>
      </c>
      <c r="P1971" t="b">
        <v>0</v>
      </c>
      <c r="R1971" t="str">
        <f>"9789062991907"</f>
        <v>9789062991907</v>
      </c>
      <c r="S1971" t="str">
        <f>"9789062997923"</f>
        <v>9789062997923</v>
      </c>
      <c r="T1971">
        <v>753560622</v>
      </c>
    </row>
    <row r="1972" spans="1:20" x14ac:dyDescent="0.25">
      <c r="A1972">
        <v>385738</v>
      </c>
      <c r="B1972" t="s">
        <v>9712</v>
      </c>
      <c r="C1972" t="s">
        <v>9713</v>
      </c>
      <c r="D1972" t="s">
        <v>8237</v>
      </c>
      <c r="E1972" t="s">
        <v>8237</v>
      </c>
      <c r="F1972">
        <v>2003</v>
      </c>
      <c r="G1972" t="s">
        <v>8679</v>
      </c>
      <c r="H1972" t="s">
        <v>9714</v>
      </c>
      <c r="I1972" t="s">
        <v>9715</v>
      </c>
      <c r="J1972" t="s">
        <v>26</v>
      </c>
      <c r="K1972" t="s">
        <v>27</v>
      </c>
      <c r="L1972" t="b">
        <v>1</v>
      </c>
      <c r="M1972" t="s">
        <v>9716</v>
      </c>
      <c r="N1972" t="str">
        <f>"616.2"</f>
        <v>616.2</v>
      </c>
      <c r="P1972" t="b">
        <v>0</v>
      </c>
      <c r="R1972" t="str">
        <f>"9789062991822"</f>
        <v>9789062991822</v>
      </c>
      <c r="S1972" t="str">
        <f>"9789062997466"</f>
        <v>9789062997466</v>
      </c>
      <c r="T1972">
        <v>753565889</v>
      </c>
    </row>
    <row r="1973" spans="1:20" x14ac:dyDescent="0.25">
      <c r="A1973">
        <v>385735</v>
      </c>
      <c r="B1973" t="s">
        <v>9717</v>
      </c>
      <c r="C1973" t="s">
        <v>9718</v>
      </c>
      <c r="D1973" t="s">
        <v>8237</v>
      </c>
      <c r="E1973" t="s">
        <v>8237</v>
      </c>
      <c r="F1973">
        <v>2003</v>
      </c>
      <c r="G1973" t="s">
        <v>8238</v>
      </c>
      <c r="H1973" t="s">
        <v>9719</v>
      </c>
      <c r="I1973" t="s">
        <v>9720</v>
      </c>
      <c r="J1973" t="s">
        <v>26</v>
      </c>
      <c r="K1973" t="s">
        <v>27</v>
      </c>
      <c r="L1973" t="b">
        <v>1</v>
      </c>
      <c r="M1973" t="s">
        <v>9721</v>
      </c>
      <c r="N1973" t="str">
        <f>"617.7"</f>
        <v>617.7</v>
      </c>
      <c r="O1973" t="s">
        <v>9722</v>
      </c>
      <c r="P1973" t="b">
        <v>0</v>
      </c>
      <c r="R1973" t="str">
        <f>"9789062991853"</f>
        <v>9789062991853</v>
      </c>
      <c r="S1973" t="str">
        <f>"9789062997718"</f>
        <v>9789062997718</v>
      </c>
      <c r="T1973">
        <v>769188262</v>
      </c>
    </row>
    <row r="1974" spans="1:20" x14ac:dyDescent="0.25">
      <c r="A1974">
        <v>385734</v>
      </c>
      <c r="B1974" t="s">
        <v>9723</v>
      </c>
      <c r="C1974" t="s">
        <v>9724</v>
      </c>
      <c r="D1974" t="s">
        <v>8237</v>
      </c>
      <c r="E1974" t="s">
        <v>8237</v>
      </c>
      <c r="F1974">
        <v>2003</v>
      </c>
      <c r="G1974" t="s">
        <v>722</v>
      </c>
      <c r="H1974" t="s">
        <v>9725</v>
      </c>
      <c r="I1974" t="s">
        <v>9726</v>
      </c>
      <c r="J1974" t="s">
        <v>26</v>
      </c>
      <c r="K1974" t="s">
        <v>27</v>
      </c>
      <c r="L1974" t="b">
        <v>1</v>
      </c>
      <c r="M1974" t="s">
        <v>9727</v>
      </c>
      <c r="N1974" t="str">
        <f>"617.7/1"</f>
        <v>617.7/1</v>
      </c>
      <c r="P1974" t="b">
        <v>0</v>
      </c>
      <c r="R1974" t="str">
        <f>"9789062991891"</f>
        <v>9789062991891</v>
      </c>
      <c r="S1974" t="str">
        <f>"9789062997008"</f>
        <v>9789062997008</v>
      </c>
      <c r="T1974">
        <v>753575989</v>
      </c>
    </row>
    <row r="1975" spans="1:20" x14ac:dyDescent="0.25">
      <c r="A1975">
        <v>385731</v>
      </c>
      <c r="B1975" t="s">
        <v>9728</v>
      </c>
      <c r="C1975" t="s">
        <v>9729</v>
      </c>
      <c r="D1975" t="s">
        <v>8237</v>
      </c>
      <c r="E1975" t="s">
        <v>8237</v>
      </c>
      <c r="F1975">
        <v>2004</v>
      </c>
      <c r="G1975" t="s">
        <v>8684</v>
      </c>
      <c r="H1975" t="s">
        <v>9730</v>
      </c>
      <c r="I1975" t="s">
        <v>9731</v>
      </c>
      <c r="J1975" t="s">
        <v>26</v>
      </c>
      <c r="K1975" t="s">
        <v>27</v>
      </c>
      <c r="L1975" t="b">
        <v>1</v>
      </c>
      <c r="M1975" t="s">
        <v>9732</v>
      </c>
      <c r="N1975" t="str">
        <f>"618.92/0977"</f>
        <v>618.92/0977</v>
      </c>
      <c r="P1975" t="b">
        <v>0</v>
      </c>
      <c r="R1975" t="str">
        <f>"9789062991983"</f>
        <v>9789062991983</v>
      </c>
      <c r="S1975" t="str">
        <f>"9789062997404"</f>
        <v>9789062997404</v>
      </c>
      <c r="T1975">
        <v>753576024</v>
      </c>
    </row>
    <row r="1976" spans="1:20" x14ac:dyDescent="0.25">
      <c r="A1976">
        <v>385729</v>
      </c>
      <c r="B1976" t="s">
        <v>9733</v>
      </c>
      <c r="C1976" t="s">
        <v>9734</v>
      </c>
      <c r="D1976" t="s">
        <v>8237</v>
      </c>
      <c r="E1976" t="s">
        <v>8237</v>
      </c>
      <c r="F1976">
        <v>2004</v>
      </c>
      <c r="G1976" t="s">
        <v>8238</v>
      </c>
      <c r="H1976" t="s">
        <v>9735</v>
      </c>
      <c r="I1976" t="s">
        <v>9736</v>
      </c>
      <c r="J1976" t="s">
        <v>26</v>
      </c>
      <c r="K1976" t="s">
        <v>27</v>
      </c>
      <c r="L1976" t="b">
        <v>1</v>
      </c>
      <c r="M1976" t="s">
        <v>9737</v>
      </c>
      <c r="N1976" t="str">
        <f>"617.741"</f>
        <v>617.741</v>
      </c>
      <c r="O1976" t="s">
        <v>9738</v>
      </c>
      <c r="P1976" t="b">
        <v>0</v>
      </c>
      <c r="R1976" t="str">
        <f>"9789062992003"</f>
        <v>9789062992003</v>
      </c>
      <c r="S1976" t="str">
        <f>"9789062997459"</f>
        <v>9789062997459</v>
      </c>
      <c r="T1976">
        <v>769188263</v>
      </c>
    </row>
    <row r="1977" spans="1:20" x14ac:dyDescent="0.25">
      <c r="A1977">
        <v>385728</v>
      </c>
      <c r="B1977" t="s">
        <v>9739</v>
      </c>
      <c r="C1977" t="s">
        <v>9740</v>
      </c>
      <c r="D1977" t="s">
        <v>8237</v>
      </c>
      <c r="E1977" t="s">
        <v>8237</v>
      </c>
      <c r="F1977">
        <v>2005</v>
      </c>
      <c r="G1977" t="s">
        <v>8238</v>
      </c>
      <c r="H1977" t="s">
        <v>9741</v>
      </c>
      <c r="I1977" t="s">
        <v>9742</v>
      </c>
      <c r="J1977" t="s">
        <v>26</v>
      </c>
      <c r="K1977" t="s">
        <v>27</v>
      </c>
      <c r="L1977" t="b">
        <v>1</v>
      </c>
      <c r="M1977" t="s">
        <v>9743</v>
      </c>
      <c r="N1977" t="str">
        <f>"617.7/35"</f>
        <v>617.7/35</v>
      </c>
      <c r="P1977" t="b">
        <v>0</v>
      </c>
      <c r="R1977" t="str">
        <f>"9789062992027"</f>
        <v>9789062992027</v>
      </c>
      <c r="S1977" t="str">
        <f>"9789062997480"</f>
        <v>9789062997480</v>
      </c>
      <c r="T1977">
        <v>753569403</v>
      </c>
    </row>
    <row r="1978" spans="1:20" x14ac:dyDescent="0.25">
      <c r="A1978">
        <v>385727</v>
      </c>
      <c r="B1978" t="s">
        <v>9744</v>
      </c>
      <c r="C1978" t="s">
        <v>9745</v>
      </c>
      <c r="D1978" t="s">
        <v>8237</v>
      </c>
      <c r="E1978" t="s">
        <v>8237</v>
      </c>
      <c r="F1978">
        <v>2005</v>
      </c>
      <c r="G1978" t="s">
        <v>8238</v>
      </c>
      <c r="H1978" t="s">
        <v>9746</v>
      </c>
      <c r="I1978" t="s">
        <v>9747</v>
      </c>
      <c r="J1978" t="s">
        <v>26</v>
      </c>
      <c r="K1978" t="s">
        <v>27</v>
      </c>
      <c r="L1978" t="b">
        <v>1</v>
      </c>
      <c r="M1978" t="s">
        <v>9748</v>
      </c>
      <c r="N1978" t="str">
        <f>"617.7/41"</f>
        <v>617.7/41</v>
      </c>
      <c r="O1978" t="s">
        <v>9668</v>
      </c>
      <c r="P1978" t="b">
        <v>0</v>
      </c>
      <c r="R1978" t="str">
        <f>"9789062992034"</f>
        <v>9789062992034</v>
      </c>
      <c r="S1978" t="str">
        <f>"9789062997497"</f>
        <v>9789062997497</v>
      </c>
      <c r="T1978">
        <v>753575184</v>
      </c>
    </row>
    <row r="1979" spans="1:20" x14ac:dyDescent="0.25">
      <c r="A1979">
        <v>385726</v>
      </c>
      <c r="B1979" t="s">
        <v>9749</v>
      </c>
      <c r="C1979" t="s">
        <v>9750</v>
      </c>
      <c r="D1979" t="s">
        <v>8237</v>
      </c>
      <c r="E1979" t="s">
        <v>8237</v>
      </c>
      <c r="F1979">
        <v>2005</v>
      </c>
      <c r="G1979" t="s">
        <v>4275</v>
      </c>
      <c r="H1979" t="s">
        <v>9751</v>
      </c>
      <c r="I1979" t="s">
        <v>9752</v>
      </c>
      <c r="J1979" t="s">
        <v>26</v>
      </c>
      <c r="K1979" t="s">
        <v>86</v>
      </c>
      <c r="L1979" t="b">
        <v>1</v>
      </c>
      <c r="M1979" t="s">
        <v>9753</v>
      </c>
      <c r="N1979" t="str">
        <f>"617.5230592"</f>
        <v>617.5230592</v>
      </c>
      <c r="P1979" t="b">
        <v>0</v>
      </c>
      <c r="Q1979" t="b">
        <v>0</v>
      </c>
      <c r="R1979" t="str">
        <f>"9789062992065"</f>
        <v>9789062992065</v>
      </c>
      <c r="S1979" t="str">
        <f>"9789062997503"</f>
        <v>9789062997503</v>
      </c>
      <c r="T1979">
        <v>763161116</v>
      </c>
    </row>
    <row r="1980" spans="1:20" x14ac:dyDescent="0.25">
      <c r="A1980">
        <v>385725</v>
      </c>
      <c r="B1980" t="s">
        <v>9754</v>
      </c>
      <c r="C1980" t="s">
        <v>9755</v>
      </c>
      <c r="D1980" t="s">
        <v>8237</v>
      </c>
      <c r="E1980" t="s">
        <v>8237</v>
      </c>
      <c r="F1980">
        <v>2006</v>
      </c>
      <c r="G1980" t="s">
        <v>8238</v>
      </c>
      <c r="H1980" t="s">
        <v>9756</v>
      </c>
      <c r="I1980" t="s">
        <v>9757</v>
      </c>
      <c r="J1980" t="s">
        <v>26</v>
      </c>
      <c r="K1980" t="s">
        <v>27</v>
      </c>
      <c r="L1980" t="b">
        <v>1</v>
      </c>
      <c r="M1980" t="s">
        <v>9758</v>
      </c>
      <c r="N1980" t="str">
        <f>"617.7/41"</f>
        <v>617.7/41</v>
      </c>
      <c r="O1980" t="s">
        <v>9722</v>
      </c>
      <c r="P1980" t="b">
        <v>0</v>
      </c>
      <c r="R1980" t="str">
        <f>"9789062992096"</f>
        <v>9789062992096</v>
      </c>
      <c r="S1980" t="str">
        <f>"9789062997701"</f>
        <v>9789062997701</v>
      </c>
      <c r="T1980">
        <v>753576333</v>
      </c>
    </row>
    <row r="1981" spans="1:20" x14ac:dyDescent="0.25">
      <c r="A1981">
        <v>385724</v>
      </c>
      <c r="B1981" t="s">
        <v>9759</v>
      </c>
      <c r="C1981" t="s">
        <v>9760</v>
      </c>
      <c r="D1981" t="s">
        <v>8237</v>
      </c>
      <c r="E1981" t="s">
        <v>8237</v>
      </c>
      <c r="F1981">
        <v>2006</v>
      </c>
      <c r="G1981" t="s">
        <v>8238</v>
      </c>
      <c r="H1981" t="s">
        <v>9761</v>
      </c>
      <c r="I1981" t="s">
        <v>9762</v>
      </c>
      <c r="J1981" t="s">
        <v>26</v>
      </c>
      <c r="K1981" t="s">
        <v>27</v>
      </c>
      <c r="L1981" t="b">
        <v>1</v>
      </c>
      <c r="M1981" t="s">
        <v>9763</v>
      </c>
      <c r="N1981" t="str">
        <f>"617.7/41"</f>
        <v>617.7/41</v>
      </c>
      <c r="O1981" t="s">
        <v>9668</v>
      </c>
      <c r="P1981" t="b">
        <v>0</v>
      </c>
      <c r="R1981" t="str">
        <f>"9789062992102"</f>
        <v>9789062992102</v>
      </c>
      <c r="S1981" t="str">
        <f>"9789062997510"</f>
        <v>9789062997510</v>
      </c>
      <c r="T1981">
        <v>753565250</v>
      </c>
    </row>
    <row r="1982" spans="1:20" x14ac:dyDescent="0.25">
      <c r="A1982">
        <v>385722</v>
      </c>
      <c r="B1982" t="s">
        <v>9764</v>
      </c>
      <c r="C1982" t="s">
        <v>9765</v>
      </c>
      <c r="D1982" t="s">
        <v>8237</v>
      </c>
      <c r="E1982" t="s">
        <v>8237</v>
      </c>
      <c r="F1982">
        <v>2007</v>
      </c>
      <c r="G1982" t="s">
        <v>8238</v>
      </c>
      <c r="H1982" t="s">
        <v>9766</v>
      </c>
      <c r="I1982" t="s">
        <v>9767</v>
      </c>
      <c r="J1982" t="s">
        <v>26</v>
      </c>
      <c r="K1982" t="s">
        <v>27</v>
      </c>
      <c r="L1982" t="b">
        <v>1</v>
      </c>
      <c r="M1982" t="s">
        <v>9768</v>
      </c>
      <c r="N1982" t="str">
        <f>"617.7/41"</f>
        <v>617.7/41</v>
      </c>
      <c r="O1982" t="s">
        <v>9668</v>
      </c>
      <c r="P1982" t="b">
        <v>0</v>
      </c>
      <c r="R1982" t="str">
        <f>"9789062992133"</f>
        <v>9789062992133</v>
      </c>
      <c r="S1982" t="str">
        <f>"9789062998425"</f>
        <v>9789062998425</v>
      </c>
      <c r="T1982">
        <v>753560540</v>
      </c>
    </row>
    <row r="1983" spans="1:20" x14ac:dyDescent="0.25">
      <c r="A1983">
        <v>385721</v>
      </c>
      <c r="B1983" t="s">
        <v>9769</v>
      </c>
      <c r="D1983" t="s">
        <v>8237</v>
      </c>
      <c r="E1983" t="s">
        <v>8237</v>
      </c>
      <c r="F1983">
        <v>2007</v>
      </c>
      <c r="G1983" t="s">
        <v>8238</v>
      </c>
      <c r="H1983" t="s">
        <v>9770</v>
      </c>
      <c r="I1983" t="s">
        <v>9771</v>
      </c>
      <c r="J1983" t="s">
        <v>26</v>
      </c>
      <c r="K1983" t="s">
        <v>27</v>
      </c>
      <c r="L1983" t="b">
        <v>1</v>
      </c>
      <c r="M1983" t="s">
        <v>9772</v>
      </c>
      <c r="N1983" t="str">
        <f>"617.7/41"</f>
        <v>617.7/41</v>
      </c>
      <c r="P1983" t="b">
        <v>0</v>
      </c>
      <c r="R1983" t="str">
        <f>"9789062992157"</f>
        <v>9789062992157</v>
      </c>
      <c r="S1983" t="str">
        <f>"9789062998432"</f>
        <v>9789062998432</v>
      </c>
      <c r="T1983">
        <v>753576592</v>
      </c>
    </row>
    <row r="1984" spans="1:20" x14ac:dyDescent="0.25">
      <c r="A1984">
        <v>385619</v>
      </c>
      <c r="B1984" t="s">
        <v>9773</v>
      </c>
      <c r="C1984" t="s">
        <v>9774</v>
      </c>
      <c r="D1984" t="s">
        <v>9264</v>
      </c>
      <c r="E1984" t="s">
        <v>9265</v>
      </c>
      <c r="F1984">
        <v>2005</v>
      </c>
      <c r="G1984" t="s">
        <v>9266</v>
      </c>
      <c r="H1984" t="s">
        <v>9775</v>
      </c>
      <c r="I1984" t="s">
        <v>9776</v>
      </c>
      <c r="J1984" t="s">
        <v>26</v>
      </c>
      <c r="K1984" t="s">
        <v>27</v>
      </c>
      <c r="L1984" t="b">
        <v>1</v>
      </c>
      <c r="M1984" t="s">
        <v>9777</v>
      </c>
      <c r="N1984" t="str">
        <f>"616.89/14"</f>
        <v>616.89/14</v>
      </c>
      <c r="P1984" t="b">
        <v>0</v>
      </c>
      <c r="R1984" t="str">
        <f>"9780944435557"</f>
        <v>9780944435557</v>
      </c>
      <c r="S1984" t="str">
        <f>"9781461902386"</f>
        <v>9781461902386</v>
      </c>
      <c r="T1984">
        <v>750172630</v>
      </c>
    </row>
    <row r="1985" spans="1:20" x14ac:dyDescent="0.25">
      <c r="A1985">
        <v>384677</v>
      </c>
      <c r="B1985" t="s">
        <v>9778</v>
      </c>
      <c r="C1985" t="s">
        <v>9779</v>
      </c>
      <c r="D1985" t="s">
        <v>255</v>
      </c>
      <c r="E1985" t="s">
        <v>9780</v>
      </c>
      <c r="F1985">
        <v>2006</v>
      </c>
      <c r="G1985" t="s">
        <v>9781</v>
      </c>
      <c r="H1985" t="s">
        <v>9782</v>
      </c>
      <c r="J1985" t="s">
        <v>26</v>
      </c>
      <c r="K1985" t="s">
        <v>27</v>
      </c>
      <c r="L1985" t="b">
        <v>1</v>
      </c>
      <c r="M1985" t="s">
        <v>9783</v>
      </c>
      <c r="N1985" t="str">
        <f>"791.43/72"</f>
        <v>791.43/72</v>
      </c>
      <c r="P1985" t="b">
        <v>0</v>
      </c>
      <c r="R1985" t="str">
        <f>"9781556526367"</f>
        <v>9781556526367</v>
      </c>
      <c r="S1985" t="str">
        <f>"9781569764275"</f>
        <v>9781569764275</v>
      </c>
      <c r="T1985">
        <v>750228245</v>
      </c>
    </row>
    <row r="1986" spans="1:20" x14ac:dyDescent="0.25">
      <c r="A1986">
        <v>384635</v>
      </c>
      <c r="B1986" t="s">
        <v>9784</v>
      </c>
      <c r="C1986" t="s">
        <v>9785</v>
      </c>
      <c r="D1986" t="s">
        <v>2269</v>
      </c>
      <c r="E1986" t="s">
        <v>2269</v>
      </c>
      <c r="F1986">
        <v>2009</v>
      </c>
      <c r="G1986" t="s">
        <v>5889</v>
      </c>
      <c r="H1986" t="s">
        <v>9786</v>
      </c>
      <c r="I1986" t="s">
        <v>9787</v>
      </c>
      <c r="J1986" t="s">
        <v>26</v>
      </c>
      <c r="K1986" t="s">
        <v>27</v>
      </c>
      <c r="L1986" t="b">
        <v>1</v>
      </c>
      <c r="M1986" t="s">
        <v>9788</v>
      </c>
      <c r="N1986" t="str">
        <f>"362.196/853"</f>
        <v>362.196/853</v>
      </c>
      <c r="O1986" t="s">
        <v>9789</v>
      </c>
      <c r="P1986" t="b">
        <v>0</v>
      </c>
      <c r="Q1986" t="b">
        <v>0</v>
      </c>
      <c r="R1986" t="str">
        <f>"9781608762286"</f>
        <v>9781608762286</v>
      </c>
      <c r="S1986" t="str">
        <f>"9781621005216"</f>
        <v>9781621005216</v>
      </c>
      <c r="T1986">
        <v>751978010</v>
      </c>
    </row>
    <row r="1987" spans="1:20" x14ac:dyDescent="0.25">
      <c r="A1987">
        <v>384634</v>
      </c>
      <c r="B1987" t="s">
        <v>9790</v>
      </c>
      <c r="C1987" t="s">
        <v>7373</v>
      </c>
      <c r="D1987" t="s">
        <v>2269</v>
      </c>
      <c r="E1987" t="s">
        <v>2269</v>
      </c>
      <c r="F1987">
        <v>2009</v>
      </c>
      <c r="G1987" t="s">
        <v>9791</v>
      </c>
      <c r="H1987" t="s">
        <v>9792</v>
      </c>
      <c r="I1987" t="s">
        <v>9793</v>
      </c>
      <c r="J1987" t="s">
        <v>26</v>
      </c>
      <c r="K1987" t="s">
        <v>27</v>
      </c>
      <c r="L1987" t="b">
        <v>1</v>
      </c>
      <c r="M1987" t="s">
        <v>9794</v>
      </c>
      <c r="N1987" t="str">
        <f>"629.8/92637"</f>
        <v>629.8/92637</v>
      </c>
      <c r="P1987" t="b">
        <v>0</v>
      </c>
      <c r="Q1987" t="b">
        <v>0</v>
      </c>
      <c r="R1987" t="str">
        <f>"9781604569841"</f>
        <v>9781604569841</v>
      </c>
      <c r="S1987" t="str">
        <f>"9781621005209"</f>
        <v>9781621005209</v>
      </c>
      <c r="T1987">
        <v>751978356</v>
      </c>
    </row>
    <row r="1988" spans="1:20" x14ac:dyDescent="0.25">
      <c r="A1988">
        <v>384615</v>
      </c>
      <c r="B1988" t="s">
        <v>9795</v>
      </c>
      <c r="C1988" t="s">
        <v>9796</v>
      </c>
      <c r="D1988" t="s">
        <v>22</v>
      </c>
      <c r="E1988" t="s">
        <v>22</v>
      </c>
      <c r="F1988">
        <v>2011</v>
      </c>
      <c r="G1988" t="s">
        <v>1649</v>
      </c>
      <c r="H1988" t="s">
        <v>9797</v>
      </c>
      <c r="J1988" t="s">
        <v>26</v>
      </c>
      <c r="K1988" t="s">
        <v>27</v>
      </c>
      <c r="L1988" t="b">
        <v>1</v>
      </c>
      <c r="M1988" t="s">
        <v>9798</v>
      </c>
      <c r="N1988" t="str">
        <f>"327.405"</f>
        <v>327.405</v>
      </c>
      <c r="O1988" t="s">
        <v>9799</v>
      </c>
      <c r="P1988" t="b">
        <v>0</v>
      </c>
      <c r="Q1988" t="b">
        <v>0</v>
      </c>
      <c r="R1988" t="str">
        <f>"9789089643438"</f>
        <v>9789089643438</v>
      </c>
      <c r="S1988" t="str">
        <f>"9789048514748"</f>
        <v>9789048514748</v>
      </c>
      <c r="T1988">
        <v>750507368</v>
      </c>
    </row>
    <row r="1989" spans="1:20" x14ac:dyDescent="0.25">
      <c r="A1989">
        <v>384361</v>
      </c>
      <c r="B1989" t="s">
        <v>9800</v>
      </c>
      <c r="C1989" t="s">
        <v>9801</v>
      </c>
      <c r="D1989" t="s">
        <v>2269</v>
      </c>
      <c r="E1989" t="s">
        <v>2269</v>
      </c>
      <c r="F1989">
        <v>2009</v>
      </c>
      <c r="G1989" t="s">
        <v>9802</v>
      </c>
      <c r="H1989" t="s">
        <v>9803</v>
      </c>
      <c r="I1989" t="s">
        <v>9804</v>
      </c>
      <c r="J1989" t="s">
        <v>26</v>
      </c>
      <c r="K1989" t="s">
        <v>27</v>
      </c>
      <c r="L1989" t="b">
        <v>1</v>
      </c>
      <c r="M1989" t="s">
        <v>9805</v>
      </c>
      <c r="N1989" t="str">
        <f>"612.8/4"</f>
        <v>612.8/4</v>
      </c>
      <c r="O1989" t="s">
        <v>9806</v>
      </c>
      <c r="P1989" t="b">
        <v>0</v>
      </c>
      <c r="Q1989" t="b">
        <v>0</v>
      </c>
      <c r="R1989" t="str">
        <f>"9781608765478"</f>
        <v>9781608765478</v>
      </c>
      <c r="S1989" t="str">
        <f>"9781617619571"</f>
        <v>9781617619571</v>
      </c>
      <c r="T1989">
        <v>761310422</v>
      </c>
    </row>
    <row r="1990" spans="1:20" x14ac:dyDescent="0.25">
      <c r="A1990">
        <v>383470</v>
      </c>
      <c r="B1990" t="s">
        <v>9807</v>
      </c>
      <c r="C1990" t="s">
        <v>9808</v>
      </c>
      <c r="D1990" t="s">
        <v>9264</v>
      </c>
      <c r="E1990" t="s">
        <v>9265</v>
      </c>
      <c r="F1990">
        <v>2006</v>
      </c>
      <c r="G1990" t="s">
        <v>9809</v>
      </c>
      <c r="H1990" t="s">
        <v>9810</v>
      </c>
      <c r="I1990" t="s">
        <v>9811</v>
      </c>
      <c r="J1990" t="s">
        <v>26</v>
      </c>
      <c r="K1990" t="s">
        <v>27</v>
      </c>
      <c r="L1990" t="b">
        <v>1</v>
      </c>
      <c r="M1990" t="s">
        <v>9812</v>
      </c>
      <c r="N1990" t="str">
        <f>"155.9/042"</f>
        <v>155.9/042</v>
      </c>
      <c r="P1990" t="b">
        <v>0</v>
      </c>
      <c r="R1990" t="str">
        <f>"9780944435601"</f>
        <v>9780944435601</v>
      </c>
      <c r="S1990" t="str">
        <f>"9781441697974"</f>
        <v>9781441697974</v>
      </c>
      <c r="T1990">
        <v>753700698</v>
      </c>
    </row>
    <row r="1991" spans="1:20" x14ac:dyDescent="0.25">
      <c r="A1991">
        <v>383319</v>
      </c>
      <c r="B1991" t="s">
        <v>9813</v>
      </c>
      <c r="C1991" t="s">
        <v>9814</v>
      </c>
      <c r="D1991" t="s">
        <v>9815</v>
      </c>
      <c r="E1991" t="s">
        <v>9815</v>
      </c>
      <c r="F1991">
        <v>2009</v>
      </c>
      <c r="G1991" t="s">
        <v>9816</v>
      </c>
      <c r="H1991" t="s">
        <v>9817</v>
      </c>
      <c r="I1991" t="s">
        <v>9818</v>
      </c>
      <c r="J1991" t="s">
        <v>26</v>
      </c>
      <c r="K1991" t="s">
        <v>27</v>
      </c>
      <c r="L1991" t="b">
        <v>1</v>
      </c>
      <c r="M1991" t="s">
        <v>9819</v>
      </c>
      <c r="N1991" t="str">
        <f>"658.85"</f>
        <v>658.85</v>
      </c>
      <c r="O1991" t="s">
        <v>9820</v>
      </c>
      <c r="P1991" t="b">
        <v>0</v>
      </c>
      <c r="R1991" t="str">
        <f>"9781426018473"</f>
        <v>9781426018473</v>
      </c>
      <c r="S1991" t="str">
        <f>"9781426030871"</f>
        <v>9781426030871</v>
      </c>
      <c r="T1991">
        <v>753003953</v>
      </c>
    </row>
    <row r="1992" spans="1:20" x14ac:dyDescent="0.25">
      <c r="A1992">
        <v>383316</v>
      </c>
      <c r="B1992" t="s">
        <v>9821</v>
      </c>
      <c r="C1992" t="s">
        <v>9822</v>
      </c>
      <c r="D1992" t="s">
        <v>9815</v>
      </c>
      <c r="E1992" t="s">
        <v>9815</v>
      </c>
      <c r="F1992">
        <v>2009</v>
      </c>
      <c r="G1992" t="s">
        <v>9823</v>
      </c>
      <c r="H1992" t="s">
        <v>9824</v>
      </c>
      <c r="I1992" t="s">
        <v>9825</v>
      </c>
      <c r="J1992" t="s">
        <v>26</v>
      </c>
      <c r="K1992" t="s">
        <v>27</v>
      </c>
      <c r="L1992" t="b">
        <v>1</v>
      </c>
      <c r="M1992" t="s">
        <v>9826</v>
      </c>
      <c r="N1992" t="str">
        <f>"005.44769"</f>
        <v>005.44769</v>
      </c>
      <c r="O1992" t="s">
        <v>9821</v>
      </c>
      <c r="P1992" t="b">
        <v>0</v>
      </c>
      <c r="R1992" t="str">
        <f>"9781426019081"</f>
        <v>9781426019081</v>
      </c>
      <c r="S1992" t="str">
        <f>"9781426030840"</f>
        <v>9781426030840</v>
      </c>
      <c r="T1992">
        <v>757836308</v>
      </c>
    </row>
    <row r="1993" spans="1:20" x14ac:dyDescent="0.25">
      <c r="A1993">
        <v>383315</v>
      </c>
      <c r="B1993" t="s">
        <v>9827</v>
      </c>
      <c r="D1993" t="s">
        <v>9815</v>
      </c>
      <c r="E1993" t="s">
        <v>9815</v>
      </c>
      <c r="F1993">
        <v>2009</v>
      </c>
      <c r="G1993" t="s">
        <v>9823</v>
      </c>
      <c r="H1993" t="s">
        <v>9828</v>
      </c>
      <c r="I1993" t="s">
        <v>9829</v>
      </c>
      <c r="J1993" t="s">
        <v>26</v>
      </c>
      <c r="K1993" t="s">
        <v>27</v>
      </c>
      <c r="L1993" t="b">
        <v>1</v>
      </c>
      <c r="M1993" t="s">
        <v>9830</v>
      </c>
      <c r="N1993" t="str">
        <f>"005.44769"</f>
        <v>005.44769</v>
      </c>
      <c r="O1993" t="s">
        <v>9831</v>
      </c>
      <c r="P1993" t="b">
        <v>0</v>
      </c>
      <c r="R1993" t="str">
        <f>"9781426018183"</f>
        <v>9781426018183</v>
      </c>
      <c r="S1993" t="str">
        <f>"9781426030833"</f>
        <v>9781426030833</v>
      </c>
      <c r="T1993">
        <v>752971764</v>
      </c>
    </row>
    <row r="1994" spans="1:20" x14ac:dyDescent="0.25">
      <c r="A1994">
        <v>383244</v>
      </c>
      <c r="B1994" t="s">
        <v>9832</v>
      </c>
      <c r="C1994" t="s">
        <v>9833</v>
      </c>
      <c r="D1994" t="s">
        <v>2269</v>
      </c>
      <c r="E1994" t="s">
        <v>2269</v>
      </c>
      <c r="F1994">
        <v>2009</v>
      </c>
      <c r="G1994" t="s">
        <v>334</v>
      </c>
      <c r="H1994" t="s">
        <v>9834</v>
      </c>
      <c r="I1994" t="s">
        <v>9835</v>
      </c>
      <c r="J1994" t="s">
        <v>26</v>
      </c>
      <c r="K1994" t="s">
        <v>27</v>
      </c>
      <c r="L1994" t="b">
        <v>1</v>
      </c>
      <c r="M1994" t="s">
        <v>9836</v>
      </c>
      <c r="N1994" t="str">
        <f>"620.8"</f>
        <v>620.8</v>
      </c>
      <c r="O1994" t="s">
        <v>9837</v>
      </c>
      <c r="P1994" t="b">
        <v>0</v>
      </c>
      <c r="Q1994" t="b">
        <v>0</v>
      </c>
      <c r="R1994" t="str">
        <f>"9781607410324"</f>
        <v>9781607410324</v>
      </c>
      <c r="S1994" t="str">
        <f>"9781614700869"</f>
        <v>9781614700869</v>
      </c>
      <c r="T1994">
        <v>747104035</v>
      </c>
    </row>
    <row r="1995" spans="1:20" x14ac:dyDescent="0.25">
      <c r="A1995">
        <v>382543</v>
      </c>
      <c r="B1995" t="s">
        <v>9838</v>
      </c>
      <c r="D1995" t="s">
        <v>9839</v>
      </c>
      <c r="E1995" t="s">
        <v>9839</v>
      </c>
      <c r="F1995">
        <v>2006</v>
      </c>
      <c r="G1995" t="s">
        <v>7394</v>
      </c>
      <c r="H1995" t="s">
        <v>9840</v>
      </c>
      <c r="I1995" t="s">
        <v>9841</v>
      </c>
      <c r="J1995" t="s">
        <v>26</v>
      </c>
      <c r="K1995" t="s">
        <v>27</v>
      </c>
      <c r="L1995" t="b">
        <v>1</v>
      </c>
      <c r="M1995" t="s">
        <v>9842</v>
      </c>
      <c r="N1995" t="str">
        <f>"616.1/2"</f>
        <v>616.1/2</v>
      </c>
      <c r="P1995" t="b">
        <v>0</v>
      </c>
      <c r="R1995" t="str">
        <f>"9781931981712"</f>
        <v>9781931981712</v>
      </c>
      <c r="S1995" t="str">
        <f>"9781937309510"</f>
        <v>9781937309510</v>
      </c>
      <c r="T1995">
        <v>751978354</v>
      </c>
    </row>
    <row r="1996" spans="1:20" x14ac:dyDescent="0.25">
      <c r="A1996">
        <v>382542</v>
      </c>
      <c r="B1996" t="s">
        <v>9843</v>
      </c>
      <c r="D1996" t="s">
        <v>9839</v>
      </c>
      <c r="E1996" t="s">
        <v>9839</v>
      </c>
      <c r="F1996">
        <v>2003</v>
      </c>
      <c r="G1996" t="s">
        <v>7394</v>
      </c>
      <c r="H1996" t="s">
        <v>9844</v>
      </c>
      <c r="I1996" t="s">
        <v>9845</v>
      </c>
      <c r="J1996" t="s">
        <v>26</v>
      </c>
      <c r="K1996" t="s">
        <v>27</v>
      </c>
      <c r="L1996" t="b">
        <v>1</v>
      </c>
      <c r="M1996" t="s">
        <v>9846</v>
      </c>
      <c r="N1996" t="str">
        <f>"616.1/25"</f>
        <v>616.1/25</v>
      </c>
      <c r="P1996" t="b">
        <v>0</v>
      </c>
      <c r="R1996" t="str">
        <f>"9781884065583"</f>
        <v>9781884065583</v>
      </c>
      <c r="S1996" t="str">
        <f>"9781937309503"</f>
        <v>9781937309503</v>
      </c>
      <c r="T1996">
        <v>750173184</v>
      </c>
    </row>
    <row r="1997" spans="1:20" x14ac:dyDescent="0.25">
      <c r="A1997">
        <v>382474</v>
      </c>
      <c r="B1997" t="s">
        <v>9847</v>
      </c>
      <c r="D1997" t="s">
        <v>9839</v>
      </c>
      <c r="E1997" t="s">
        <v>9839</v>
      </c>
      <c r="F1997">
        <v>2004</v>
      </c>
      <c r="G1997" t="s">
        <v>2077</v>
      </c>
      <c r="H1997" t="s">
        <v>9848</v>
      </c>
      <c r="I1997" t="s">
        <v>9849</v>
      </c>
      <c r="J1997" t="s">
        <v>26</v>
      </c>
      <c r="K1997" t="s">
        <v>27</v>
      </c>
      <c r="L1997" t="b">
        <v>1</v>
      </c>
      <c r="M1997" t="s">
        <v>9850</v>
      </c>
      <c r="N1997" t="str">
        <f>"363.325/3"</f>
        <v>363.325/3</v>
      </c>
      <c r="P1997" t="b">
        <v>0</v>
      </c>
      <c r="R1997" t="str">
        <f>"9781931981385"</f>
        <v>9781931981385</v>
      </c>
      <c r="S1997" t="str">
        <f>"9781937309541"</f>
        <v>9781937309541</v>
      </c>
      <c r="T1997">
        <v>752895023</v>
      </c>
    </row>
    <row r="1998" spans="1:20" x14ac:dyDescent="0.25">
      <c r="A1998">
        <v>382473</v>
      </c>
      <c r="B1998" t="s">
        <v>9851</v>
      </c>
      <c r="D1998" t="s">
        <v>9839</v>
      </c>
      <c r="E1998" t="s">
        <v>9839</v>
      </c>
      <c r="F1998">
        <v>2008</v>
      </c>
      <c r="G1998" t="s">
        <v>4275</v>
      </c>
      <c r="H1998" t="s">
        <v>9852</v>
      </c>
      <c r="I1998" t="s">
        <v>9853</v>
      </c>
      <c r="J1998" t="s">
        <v>26</v>
      </c>
      <c r="K1998" t="s">
        <v>27</v>
      </c>
      <c r="L1998" t="b">
        <v>1</v>
      </c>
      <c r="M1998" t="s">
        <v>9854</v>
      </c>
      <c r="N1998" t="str">
        <f>"617.01"</f>
        <v>617.01</v>
      </c>
      <c r="P1998" t="b">
        <v>0</v>
      </c>
      <c r="R1998" t="str">
        <f>"9781935103035"</f>
        <v>9781935103035</v>
      </c>
      <c r="S1998" t="str">
        <f>"9781935103769"</f>
        <v>9781935103769</v>
      </c>
      <c r="T1998">
        <v>752149307</v>
      </c>
    </row>
    <row r="1999" spans="1:20" x14ac:dyDescent="0.25">
      <c r="A1999">
        <v>382472</v>
      </c>
      <c r="B1999" t="s">
        <v>9855</v>
      </c>
      <c r="D1999" t="s">
        <v>9839</v>
      </c>
      <c r="E1999" t="s">
        <v>9839</v>
      </c>
      <c r="F1999">
        <v>2009</v>
      </c>
      <c r="G1999" t="s">
        <v>5889</v>
      </c>
      <c r="H1999" t="s">
        <v>9856</v>
      </c>
      <c r="I1999" t="s">
        <v>9857</v>
      </c>
      <c r="J1999" t="s">
        <v>26</v>
      </c>
      <c r="K1999" t="s">
        <v>27</v>
      </c>
      <c r="L1999" t="b">
        <v>1</v>
      </c>
      <c r="M1999" t="s">
        <v>9858</v>
      </c>
      <c r="N1999" t="str">
        <f>"616.8491"</f>
        <v>616.8491</v>
      </c>
      <c r="P1999" t="b">
        <v>0</v>
      </c>
      <c r="R1999" t="str">
        <f>"9781931981873"</f>
        <v>9781931981873</v>
      </c>
      <c r="S1999" t="str">
        <f>"9781935103752"</f>
        <v>9781935103752</v>
      </c>
      <c r="T1999">
        <v>752902909</v>
      </c>
    </row>
    <row r="2000" spans="1:20" x14ac:dyDescent="0.25">
      <c r="A2000">
        <v>382471</v>
      </c>
      <c r="B2000" t="s">
        <v>9859</v>
      </c>
      <c r="D2000" t="s">
        <v>9839</v>
      </c>
      <c r="E2000" t="s">
        <v>9839</v>
      </c>
      <c r="F2000">
        <v>2007</v>
      </c>
      <c r="G2000" t="s">
        <v>9860</v>
      </c>
      <c r="H2000" t="s">
        <v>9861</v>
      </c>
      <c r="I2000" t="s">
        <v>9862</v>
      </c>
      <c r="J2000" t="s">
        <v>26</v>
      </c>
      <c r="K2000" t="s">
        <v>27</v>
      </c>
      <c r="L2000" t="b">
        <v>1</v>
      </c>
      <c r="M2000" t="s">
        <v>9863</v>
      </c>
      <c r="N2000" t="str">
        <f>"616.5"</f>
        <v>616.5</v>
      </c>
      <c r="P2000" t="b">
        <v>0</v>
      </c>
      <c r="R2000" t="str">
        <f>"9781931981743"</f>
        <v>9781931981743</v>
      </c>
      <c r="S2000" t="str">
        <f>"9781931981996"</f>
        <v>9781931981996</v>
      </c>
      <c r="T2000">
        <v>752143157</v>
      </c>
    </row>
    <row r="2001" spans="1:20" x14ac:dyDescent="0.25">
      <c r="A2001">
        <v>382469</v>
      </c>
      <c r="B2001" t="s">
        <v>9864</v>
      </c>
      <c r="D2001" t="s">
        <v>9839</v>
      </c>
      <c r="E2001" t="s">
        <v>9839</v>
      </c>
      <c r="F2001">
        <v>2008</v>
      </c>
      <c r="G2001" t="s">
        <v>1054</v>
      </c>
      <c r="H2001" t="s">
        <v>9865</v>
      </c>
      <c r="I2001" t="s">
        <v>9866</v>
      </c>
      <c r="J2001" t="s">
        <v>26</v>
      </c>
      <c r="K2001" t="s">
        <v>27</v>
      </c>
      <c r="L2001" t="b">
        <v>1</v>
      </c>
      <c r="M2001" t="s">
        <v>9867</v>
      </c>
      <c r="N2001" t="str">
        <f>"616.1/06"</f>
        <v>616.1/06</v>
      </c>
      <c r="P2001" t="b">
        <v>0</v>
      </c>
      <c r="R2001" t="str">
        <f>"9781931981880"</f>
        <v>9781931981880</v>
      </c>
      <c r="S2001" t="str">
        <f>"9781935103745"</f>
        <v>9781935103745</v>
      </c>
      <c r="T2001">
        <v>752895976</v>
      </c>
    </row>
    <row r="2002" spans="1:20" x14ac:dyDescent="0.25">
      <c r="A2002">
        <v>382468</v>
      </c>
      <c r="B2002" t="s">
        <v>9868</v>
      </c>
      <c r="D2002" t="s">
        <v>9839</v>
      </c>
      <c r="E2002" t="s">
        <v>9839</v>
      </c>
      <c r="F2002">
        <v>2008</v>
      </c>
      <c r="G2002" t="s">
        <v>9689</v>
      </c>
      <c r="H2002" t="s">
        <v>9869</v>
      </c>
      <c r="I2002" t="s">
        <v>9870</v>
      </c>
      <c r="J2002" t="s">
        <v>26</v>
      </c>
      <c r="K2002" t="s">
        <v>27</v>
      </c>
      <c r="L2002" t="b">
        <v>1</v>
      </c>
      <c r="M2002" t="s">
        <v>9871</v>
      </c>
      <c r="N2002" t="str">
        <f>"617.9/5"</f>
        <v>617.9/5</v>
      </c>
      <c r="P2002" t="b">
        <v>0</v>
      </c>
      <c r="R2002" t="str">
        <f>"9781931981903"</f>
        <v>9781931981903</v>
      </c>
      <c r="S2002" t="str">
        <f>"9781937309534"</f>
        <v>9781937309534</v>
      </c>
      <c r="T2002">
        <v>752149237</v>
      </c>
    </row>
    <row r="2003" spans="1:20" x14ac:dyDescent="0.25">
      <c r="A2003">
        <v>382467</v>
      </c>
      <c r="B2003" t="s">
        <v>9872</v>
      </c>
      <c r="D2003" t="s">
        <v>9839</v>
      </c>
      <c r="E2003" t="s">
        <v>9839</v>
      </c>
      <c r="F2003">
        <v>2009</v>
      </c>
      <c r="G2003" t="s">
        <v>8679</v>
      </c>
      <c r="H2003" t="s">
        <v>9873</v>
      </c>
      <c r="I2003" t="s">
        <v>9874</v>
      </c>
      <c r="J2003" t="s">
        <v>26</v>
      </c>
      <c r="K2003" t="s">
        <v>27</v>
      </c>
      <c r="L2003" t="b">
        <v>1</v>
      </c>
      <c r="M2003" t="s">
        <v>9875</v>
      </c>
      <c r="N2003" t="str">
        <f>"616.2/03"</f>
        <v>616.2/03</v>
      </c>
      <c r="P2003" t="b">
        <v>0</v>
      </c>
      <c r="R2003" t="str">
        <f>"9781931981927"</f>
        <v>9781931981927</v>
      </c>
      <c r="S2003" t="str">
        <f>"9781937309527"</f>
        <v>9781937309527</v>
      </c>
      <c r="T2003">
        <v>752938235</v>
      </c>
    </row>
    <row r="2004" spans="1:20" x14ac:dyDescent="0.25">
      <c r="A2004">
        <v>382465</v>
      </c>
      <c r="B2004" t="s">
        <v>9876</v>
      </c>
      <c r="D2004" t="s">
        <v>9839</v>
      </c>
      <c r="E2004" t="s">
        <v>9839</v>
      </c>
      <c r="F2004">
        <v>2003</v>
      </c>
      <c r="G2004" t="s">
        <v>9877</v>
      </c>
      <c r="H2004" t="s">
        <v>9878</v>
      </c>
      <c r="I2004" t="s">
        <v>9879</v>
      </c>
      <c r="J2004" t="s">
        <v>26</v>
      </c>
      <c r="K2004" t="s">
        <v>27</v>
      </c>
      <c r="L2004" t="b">
        <v>1</v>
      </c>
      <c r="M2004" t="s">
        <v>9880</v>
      </c>
      <c r="N2004" t="str">
        <f>"616.6"</f>
        <v>616.6</v>
      </c>
      <c r="P2004" t="b">
        <v>0</v>
      </c>
      <c r="R2004" t="str">
        <f>"9781884065989"</f>
        <v>9781884065989</v>
      </c>
      <c r="S2004" t="str">
        <f>"9781937309497"</f>
        <v>9781937309497</v>
      </c>
      <c r="T2004">
        <v>750172728</v>
      </c>
    </row>
    <row r="2005" spans="1:20" x14ac:dyDescent="0.25">
      <c r="A2005">
        <v>382464</v>
      </c>
      <c r="B2005" t="s">
        <v>9881</v>
      </c>
      <c r="D2005" t="s">
        <v>9839</v>
      </c>
      <c r="E2005" t="s">
        <v>9839</v>
      </c>
      <c r="F2005">
        <v>2005</v>
      </c>
      <c r="G2005" t="s">
        <v>8690</v>
      </c>
      <c r="H2005" t="s">
        <v>9882</v>
      </c>
      <c r="I2005" t="s">
        <v>9883</v>
      </c>
      <c r="J2005" t="s">
        <v>26</v>
      </c>
      <c r="K2005" t="s">
        <v>27</v>
      </c>
      <c r="L2005" t="b">
        <v>1</v>
      </c>
      <c r="M2005" t="s">
        <v>9884</v>
      </c>
      <c r="N2005" t="str">
        <f>"616.3/3"</f>
        <v>616.3/3</v>
      </c>
      <c r="P2005" t="b">
        <v>0</v>
      </c>
      <c r="R2005" t="str">
        <f>"9781931981477"</f>
        <v>9781931981477</v>
      </c>
      <c r="S2005" t="str">
        <f>"9781937309480"</f>
        <v>9781937309480</v>
      </c>
      <c r="T2005">
        <v>750175366</v>
      </c>
    </row>
    <row r="2006" spans="1:20" x14ac:dyDescent="0.25">
      <c r="A2006">
        <v>382463</v>
      </c>
      <c r="B2006" t="s">
        <v>9885</v>
      </c>
      <c r="D2006" t="s">
        <v>9839</v>
      </c>
      <c r="E2006" t="s">
        <v>9839</v>
      </c>
      <c r="F2006">
        <v>2005</v>
      </c>
      <c r="G2006" t="s">
        <v>8690</v>
      </c>
      <c r="H2006" t="s">
        <v>9886</v>
      </c>
      <c r="I2006" t="s">
        <v>9887</v>
      </c>
      <c r="J2006" t="s">
        <v>26</v>
      </c>
      <c r="K2006" t="s">
        <v>27</v>
      </c>
      <c r="L2006" t="b">
        <v>1</v>
      </c>
      <c r="M2006" t="s">
        <v>9888</v>
      </c>
      <c r="N2006" t="str">
        <f>"616.3/4473"</f>
        <v>616.3/4473</v>
      </c>
      <c r="P2006" t="b">
        <v>0</v>
      </c>
      <c r="R2006" t="str">
        <f>"9781931981415"</f>
        <v>9781931981415</v>
      </c>
      <c r="S2006" t="str">
        <f>"9781935103714"</f>
        <v>9781935103714</v>
      </c>
      <c r="T2006">
        <v>750173081</v>
      </c>
    </row>
    <row r="2007" spans="1:20" x14ac:dyDescent="0.25">
      <c r="A2007">
        <v>382462</v>
      </c>
      <c r="B2007" t="s">
        <v>9889</v>
      </c>
      <c r="D2007" t="s">
        <v>9839</v>
      </c>
      <c r="E2007" t="s">
        <v>9839</v>
      </c>
      <c r="F2007">
        <v>2009</v>
      </c>
      <c r="G2007" t="s">
        <v>8498</v>
      </c>
      <c r="H2007" t="s">
        <v>9890</v>
      </c>
      <c r="I2007" t="s">
        <v>9891</v>
      </c>
      <c r="J2007" t="s">
        <v>26</v>
      </c>
      <c r="K2007" t="s">
        <v>27</v>
      </c>
      <c r="L2007" t="b">
        <v>1</v>
      </c>
      <c r="M2007" t="s">
        <v>9892</v>
      </c>
      <c r="N2007" t="str">
        <f>"616.4/624"</f>
        <v>616.4/624</v>
      </c>
      <c r="P2007" t="b">
        <v>0</v>
      </c>
      <c r="R2007" t="str">
        <f>"9781935103271"</f>
        <v>9781935103271</v>
      </c>
      <c r="S2007" t="str">
        <f>"9781935103707"</f>
        <v>9781935103707</v>
      </c>
      <c r="T2007">
        <v>757821626</v>
      </c>
    </row>
    <row r="2008" spans="1:20" x14ac:dyDescent="0.25">
      <c r="A2008">
        <v>382461</v>
      </c>
      <c r="B2008" t="s">
        <v>9893</v>
      </c>
      <c r="D2008" t="s">
        <v>9839</v>
      </c>
      <c r="E2008" t="s">
        <v>9839</v>
      </c>
      <c r="F2008">
        <v>2008</v>
      </c>
      <c r="G2008" t="s">
        <v>7394</v>
      </c>
      <c r="H2008" t="s">
        <v>9894</v>
      </c>
      <c r="I2008" t="s">
        <v>9895</v>
      </c>
      <c r="J2008" t="s">
        <v>26</v>
      </c>
      <c r="K2008" t="s">
        <v>27</v>
      </c>
      <c r="L2008" t="b">
        <v>1</v>
      </c>
      <c r="M2008" t="s">
        <v>9896</v>
      </c>
      <c r="N2008" t="str">
        <f>"616.1/23"</f>
        <v>616.1/23</v>
      </c>
      <c r="P2008" t="b">
        <v>0</v>
      </c>
      <c r="R2008" t="str">
        <f>"9781931981897"</f>
        <v>9781931981897</v>
      </c>
      <c r="S2008" t="str">
        <f>"9781937309473"</f>
        <v>9781937309473</v>
      </c>
      <c r="T2008">
        <v>750174278</v>
      </c>
    </row>
    <row r="2009" spans="1:20" x14ac:dyDescent="0.25">
      <c r="A2009">
        <v>382460</v>
      </c>
      <c r="B2009" t="s">
        <v>9897</v>
      </c>
      <c r="D2009" t="s">
        <v>9839</v>
      </c>
      <c r="E2009" t="s">
        <v>9839</v>
      </c>
      <c r="F2009">
        <v>2009</v>
      </c>
      <c r="G2009" t="s">
        <v>8498</v>
      </c>
      <c r="H2009" t="s">
        <v>9898</v>
      </c>
      <c r="I2009" t="s">
        <v>9891</v>
      </c>
      <c r="J2009" t="s">
        <v>26</v>
      </c>
      <c r="K2009" t="s">
        <v>27</v>
      </c>
      <c r="L2009" t="b">
        <v>1</v>
      </c>
      <c r="M2009" t="s">
        <v>9899</v>
      </c>
      <c r="N2009" t="str">
        <f>"616.4/624"</f>
        <v>616.4/624</v>
      </c>
      <c r="P2009" t="b">
        <v>0</v>
      </c>
      <c r="R2009" t="str">
        <f>"9781935103097"</f>
        <v>9781935103097</v>
      </c>
      <c r="S2009" t="str">
        <f>"9781937309466"</f>
        <v>9781937309466</v>
      </c>
      <c r="T2009">
        <v>750174244</v>
      </c>
    </row>
    <row r="2010" spans="1:20" x14ac:dyDescent="0.25">
      <c r="A2010">
        <v>382459</v>
      </c>
      <c r="B2010" t="s">
        <v>9900</v>
      </c>
      <c r="D2010" t="s">
        <v>9839</v>
      </c>
      <c r="E2010" t="s">
        <v>9839</v>
      </c>
      <c r="F2010">
        <v>2006</v>
      </c>
      <c r="G2010" t="s">
        <v>7627</v>
      </c>
      <c r="H2010" t="s">
        <v>9901</v>
      </c>
      <c r="I2010" t="s">
        <v>9902</v>
      </c>
      <c r="J2010" t="s">
        <v>26</v>
      </c>
      <c r="K2010" t="s">
        <v>27</v>
      </c>
      <c r="L2010" t="b">
        <v>1</v>
      </c>
      <c r="M2010" t="s">
        <v>9903</v>
      </c>
      <c r="N2010" t="str">
        <f>"616.8/53"</f>
        <v>616.8/53</v>
      </c>
      <c r="P2010" t="b">
        <v>0</v>
      </c>
      <c r="R2010" t="str">
        <f>"9781931981576"</f>
        <v>9781931981576</v>
      </c>
      <c r="S2010" t="str">
        <f>"9781935103691"</f>
        <v>9781935103691</v>
      </c>
      <c r="T2010">
        <v>750173141</v>
      </c>
    </row>
    <row r="2011" spans="1:20" x14ac:dyDescent="0.25">
      <c r="A2011">
        <v>382458</v>
      </c>
      <c r="B2011" t="s">
        <v>9904</v>
      </c>
      <c r="D2011" t="s">
        <v>9839</v>
      </c>
      <c r="E2011" t="s">
        <v>9839</v>
      </c>
      <c r="F2011">
        <v>2005</v>
      </c>
      <c r="G2011" t="s">
        <v>7367</v>
      </c>
      <c r="H2011" t="s">
        <v>9905</v>
      </c>
      <c r="I2011" t="s">
        <v>9906</v>
      </c>
      <c r="J2011" t="s">
        <v>26</v>
      </c>
      <c r="K2011" t="s">
        <v>27</v>
      </c>
      <c r="L2011" t="b">
        <v>1</v>
      </c>
      <c r="M2011" t="s">
        <v>9907</v>
      </c>
      <c r="N2011" t="str">
        <f>"616.3/9"</f>
        <v>616.3/9</v>
      </c>
      <c r="P2011" t="b">
        <v>0</v>
      </c>
      <c r="R2011" t="str">
        <f>"9781931981224"</f>
        <v>9781931981224</v>
      </c>
      <c r="S2011" t="str">
        <f>"9781935103684"</f>
        <v>9781935103684</v>
      </c>
      <c r="T2011">
        <v>750173137</v>
      </c>
    </row>
    <row r="2012" spans="1:20" x14ac:dyDescent="0.25">
      <c r="A2012">
        <v>382457</v>
      </c>
      <c r="B2012" t="s">
        <v>9908</v>
      </c>
      <c r="D2012" t="s">
        <v>9839</v>
      </c>
      <c r="E2012" t="s">
        <v>9839</v>
      </c>
      <c r="F2012">
        <v>2009</v>
      </c>
      <c r="G2012" t="s">
        <v>1054</v>
      </c>
      <c r="H2012" t="s">
        <v>9909</v>
      </c>
      <c r="I2012" t="s">
        <v>9910</v>
      </c>
      <c r="J2012" t="s">
        <v>26</v>
      </c>
      <c r="K2012" t="s">
        <v>27</v>
      </c>
      <c r="L2012" t="b">
        <v>1</v>
      </c>
      <c r="M2012" t="s">
        <v>9911</v>
      </c>
      <c r="N2012" t="str">
        <f>"616.1/32"</f>
        <v>616.1/32</v>
      </c>
      <c r="P2012" t="b">
        <v>0</v>
      </c>
      <c r="R2012" t="str">
        <f>"9781931981811"</f>
        <v>9781931981811</v>
      </c>
      <c r="S2012" t="str">
        <f>"9781937309459"</f>
        <v>9781937309459</v>
      </c>
      <c r="T2012">
        <v>752932505</v>
      </c>
    </row>
    <row r="2013" spans="1:20" x14ac:dyDescent="0.25">
      <c r="A2013">
        <v>382455</v>
      </c>
      <c r="B2013" t="s">
        <v>9912</v>
      </c>
      <c r="D2013" t="s">
        <v>9839</v>
      </c>
      <c r="E2013" t="s">
        <v>9839</v>
      </c>
      <c r="F2013">
        <v>2005</v>
      </c>
      <c r="G2013" t="s">
        <v>45</v>
      </c>
      <c r="H2013" t="s">
        <v>9913</v>
      </c>
      <c r="I2013" t="s">
        <v>9914</v>
      </c>
      <c r="J2013" t="s">
        <v>26</v>
      </c>
      <c r="K2013" t="s">
        <v>27</v>
      </c>
      <c r="L2013" t="b">
        <v>1</v>
      </c>
      <c r="M2013" t="s">
        <v>9915</v>
      </c>
      <c r="N2013" t="str">
        <f>"616.8/1"</f>
        <v>616.8/1</v>
      </c>
      <c r="P2013" t="b">
        <v>0</v>
      </c>
      <c r="R2013" t="str">
        <f>"9781931981552"</f>
        <v>9781931981552</v>
      </c>
      <c r="S2013" t="str">
        <f>"9781937309442"</f>
        <v>9781937309442</v>
      </c>
      <c r="T2013">
        <v>750172548</v>
      </c>
    </row>
    <row r="2014" spans="1:20" x14ac:dyDescent="0.25">
      <c r="A2014">
        <v>382454</v>
      </c>
      <c r="B2014" t="s">
        <v>9916</v>
      </c>
      <c r="D2014" t="s">
        <v>9839</v>
      </c>
      <c r="E2014" t="s">
        <v>9839</v>
      </c>
      <c r="F2014">
        <v>2009</v>
      </c>
      <c r="G2014" t="s">
        <v>9917</v>
      </c>
      <c r="H2014" t="s">
        <v>9918</v>
      </c>
      <c r="I2014" t="s">
        <v>9919</v>
      </c>
      <c r="J2014" t="s">
        <v>26</v>
      </c>
      <c r="K2014" t="s">
        <v>27</v>
      </c>
      <c r="L2014" t="b">
        <v>1</v>
      </c>
      <c r="M2014" t="s">
        <v>9920</v>
      </c>
      <c r="N2014" t="str">
        <f>"616.5"</f>
        <v>616.5</v>
      </c>
      <c r="P2014" t="b">
        <v>0</v>
      </c>
      <c r="R2014" t="str">
        <f>"9781935103110"</f>
        <v>9781935103110</v>
      </c>
      <c r="S2014" t="str">
        <f>"9781935103660"</f>
        <v>9781935103660</v>
      </c>
      <c r="T2014">
        <v>752933897</v>
      </c>
    </row>
    <row r="2015" spans="1:20" x14ac:dyDescent="0.25">
      <c r="A2015">
        <v>382453</v>
      </c>
      <c r="B2015" t="s">
        <v>9921</v>
      </c>
      <c r="D2015" t="s">
        <v>9839</v>
      </c>
      <c r="E2015" t="s">
        <v>9839</v>
      </c>
      <c r="F2015">
        <v>2004</v>
      </c>
      <c r="G2015" t="s">
        <v>2292</v>
      </c>
      <c r="H2015" t="s">
        <v>9922</v>
      </c>
      <c r="I2015" t="s">
        <v>9923</v>
      </c>
      <c r="J2015" t="s">
        <v>26</v>
      </c>
      <c r="K2015" t="s">
        <v>27</v>
      </c>
      <c r="L2015" t="b">
        <v>1</v>
      </c>
      <c r="M2015" t="s">
        <v>9924</v>
      </c>
      <c r="N2015" t="str">
        <f>"616.2/12"</f>
        <v>616.2/12</v>
      </c>
      <c r="P2015" t="b">
        <v>0</v>
      </c>
      <c r="R2015" t="str">
        <f>"9781931981262"</f>
        <v>9781931981262</v>
      </c>
      <c r="S2015" t="str">
        <f>"9781937309435"</f>
        <v>9781937309435</v>
      </c>
      <c r="T2015">
        <v>750174252</v>
      </c>
    </row>
    <row r="2016" spans="1:20" x14ac:dyDescent="0.25">
      <c r="A2016">
        <v>382452</v>
      </c>
      <c r="B2016" t="s">
        <v>9925</v>
      </c>
      <c r="D2016" t="s">
        <v>9839</v>
      </c>
      <c r="E2016" t="s">
        <v>9839</v>
      </c>
      <c r="F2016">
        <v>2004</v>
      </c>
      <c r="G2016" t="s">
        <v>8991</v>
      </c>
      <c r="H2016" t="s">
        <v>9926</v>
      </c>
      <c r="I2016" t="s">
        <v>9927</v>
      </c>
      <c r="J2016" t="s">
        <v>26</v>
      </c>
      <c r="K2016" t="s">
        <v>27</v>
      </c>
      <c r="L2016" t="b">
        <v>1</v>
      </c>
      <c r="M2016" t="s">
        <v>9928</v>
      </c>
      <c r="N2016" t="str">
        <f>"616.9/44"</f>
        <v>616.9/44</v>
      </c>
      <c r="P2016" t="b">
        <v>0</v>
      </c>
      <c r="R2016" t="str">
        <f>"9781931981156"</f>
        <v>9781931981156</v>
      </c>
      <c r="S2016" t="str">
        <f>"9781937309428"</f>
        <v>9781937309428</v>
      </c>
      <c r="T2016">
        <v>750173227</v>
      </c>
    </row>
    <row r="2017" spans="1:20" x14ac:dyDescent="0.25">
      <c r="A2017">
        <v>382450</v>
      </c>
      <c r="B2017" t="s">
        <v>9929</v>
      </c>
      <c r="D2017" t="s">
        <v>9839</v>
      </c>
      <c r="E2017" t="s">
        <v>9839</v>
      </c>
      <c r="F2017">
        <v>2009</v>
      </c>
      <c r="G2017" t="s">
        <v>9228</v>
      </c>
      <c r="H2017" t="s">
        <v>9930</v>
      </c>
      <c r="I2017" t="s">
        <v>9931</v>
      </c>
      <c r="J2017" t="s">
        <v>26</v>
      </c>
      <c r="K2017" t="s">
        <v>27</v>
      </c>
      <c r="L2017" t="b">
        <v>1</v>
      </c>
      <c r="M2017" t="s">
        <v>9932</v>
      </c>
      <c r="N2017" t="str">
        <f>"616.8/498"</f>
        <v>616.8/498</v>
      </c>
      <c r="P2017" t="b">
        <v>0</v>
      </c>
      <c r="R2017" t="str">
        <f>"9781931981781"</f>
        <v>9781931981781</v>
      </c>
      <c r="S2017" t="str">
        <f>"9781937309411"</f>
        <v>9781937309411</v>
      </c>
      <c r="T2017">
        <v>750173530</v>
      </c>
    </row>
    <row r="2018" spans="1:20" x14ac:dyDescent="0.25">
      <c r="A2018">
        <v>382448</v>
      </c>
      <c r="B2018" t="s">
        <v>9933</v>
      </c>
      <c r="D2018" t="s">
        <v>9839</v>
      </c>
      <c r="E2018" t="s">
        <v>9839</v>
      </c>
      <c r="F2018">
        <v>2004</v>
      </c>
      <c r="G2018" t="s">
        <v>1054</v>
      </c>
      <c r="H2018" t="s">
        <v>9934</v>
      </c>
      <c r="I2018" t="s">
        <v>9935</v>
      </c>
      <c r="J2018" t="s">
        <v>26</v>
      </c>
      <c r="K2018" t="s">
        <v>27</v>
      </c>
      <c r="L2018" t="b">
        <v>1</v>
      </c>
      <c r="M2018" t="s">
        <v>9936</v>
      </c>
      <c r="N2018" t="str">
        <f>"616.1/31"</f>
        <v>616.1/31</v>
      </c>
      <c r="P2018" t="b">
        <v>0</v>
      </c>
      <c r="R2018" t="str">
        <f>"9781931981255"</f>
        <v>9781931981255</v>
      </c>
      <c r="S2018" t="str">
        <f>"9781937309404"</f>
        <v>9781937309404</v>
      </c>
      <c r="T2018">
        <v>750174128</v>
      </c>
    </row>
    <row r="2019" spans="1:20" x14ac:dyDescent="0.25">
      <c r="A2019">
        <v>382447</v>
      </c>
      <c r="B2019" t="s">
        <v>9937</v>
      </c>
      <c r="D2019" t="s">
        <v>9839</v>
      </c>
      <c r="E2019" t="s">
        <v>9839</v>
      </c>
      <c r="F2019">
        <v>2007</v>
      </c>
      <c r="G2019" t="s">
        <v>9938</v>
      </c>
      <c r="H2019" t="s">
        <v>9939</v>
      </c>
      <c r="I2019" t="s">
        <v>9940</v>
      </c>
      <c r="J2019" t="s">
        <v>26</v>
      </c>
      <c r="K2019" t="s">
        <v>27</v>
      </c>
      <c r="L2019" t="b">
        <v>1</v>
      </c>
      <c r="M2019" t="s">
        <v>9941</v>
      </c>
      <c r="N2019" t="str">
        <f>"616.8/33"</f>
        <v>616.8/33</v>
      </c>
      <c r="P2019" t="b">
        <v>0</v>
      </c>
      <c r="R2019" t="str">
        <f>"9781884065729"</f>
        <v>9781884065729</v>
      </c>
      <c r="S2019" t="str">
        <f>"9781937309398"</f>
        <v>9781937309398</v>
      </c>
      <c r="T2019">
        <v>750174265</v>
      </c>
    </row>
    <row r="2020" spans="1:20" x14ac:dyDescent="0.25">
      <c r="A2020">
        <v>382446</v>
      </c>
      <c r="B2020" t="s">
        <v>9942</v>
      </c>
      <c r="D2020" t="s">
        <v>9839</v>
      </c>
      <c r="E2020" t="s">
        <v>9839</v>
      </c>
      <c r="F2020">
        <v>2009</v>
      </c>
      <c r="G2020" t="s">
        <v>9943</v>
      </c>
      <c r="H2020" t="s">
        <v>9944</v>
      </c>
      <c r="I2020" t="s">
        <v>9945</v>
      </c>
      <c r="J2020" t="s">
        <v>26</v>
      </c>
      <c r="K2020" t="s">
        <v>27</v>
      </c>
      <c r="L2020" t="b">
        <v>1</v>
      </c>
      <c r="M2020" t="s">
        <v>9946</v>
      </c>
      <c r="N2020" t="str">
        <f>"616/.0472"</f>
        <v>616/.0472</v>
      </c>
      <c r="P2020" t="b">
        <v>0</v>
      </c>
      <c r="R2020" t="str">
        <f>"9781935103240"</f>
        <v>9781935103240</v>
      </c>
      <c r="S2020" t="str">
        <f>"9781935103646"</f>
        <v>9781935103646</v>
      </c>
      <c r="T2020">
        <v>752925322</v>
      </c>
    </row>
    <row r="2021" spans="1:20" x14ac:dyDescent="0.25">
      <c r="A2021">
        <v>382444</v>
      </c>
      <c r="B2021" t="s">
        <v>9947</v>
      </c>
      <c r="D2021" t="s">
        <v>9839</v>
      </c>
      <c r="E2021" t="s">
        <v>9839</v>
      </c>
      <c r="F2021">
        <v>2009</v>
      </c>
      <c r="G2021" t="s">
        <v>8679</v>
      </c>
      <c r="H2021" t="s">
        <v>9948</v>
      </c>
      <c r="I2021" t="s">
        <v>9949</v>
      </c>
      <c r="J2021" t="s">
        <v>26</v>
      </c>
      <c r="K2021" t="s">
        <v>27</v>
      </c>
      <c r="L2021" t="b">
        <v>1</v>
      </c>
      <c r="M2021" t="s">
        <v>9950</v>
      </c>
      <c r="N2021" t="str">
        <f>"616.2/41"</f>
        <v>616.2/41</v>
      </c>
      <c r="P2021" t="b">
        <v>0</v>
      </c>
      <c r="R2021" t="str">
        <f>"9781935103141"</f>
        <v>9781935103141</v>
      </c>
      <c r="S2021" t="str">
        <f>"9781937309381"</f>
        <v>9781937309381</v>
      </c>
      <c r="T2021">
        <v>752148209</v>
      </c>
    </row>
    <row r="2022" spans="1:20" x14ac:dyDescent="0.25">
      <c r="A2022">
        <v>382443</v>
      </c>
      <c r="B2022" t="s">
        <v>9951</v>
      </c>
      <c r="D2022" t="s">
        <v>9839</v>
      </c>
      <c r="E2022" t="s">
        <v>9839</v>
      </c>
      <c r="F2022">
        <v>2004</v>
      </c>
      <c r="G2022" t="s">
        <v>9938</v>
      </c>
      <c r="H2022" t="s">
        <v>9952</v>
      </c>
      <c r="I2022" t="s">
        <v>9953</v>
      </c>
      <c r="J2022" t="s">
        <v>26</v>
      </c>
      <c r="K2022" t="s">
        <v>27</v>
      </c>
      <c r="L2022" t="b">
        <v>1</v>
      </c>
      <c r="M2022" t="s">
        <v>9954</v>
      </c>
      <c r="N2022" t="str">
        <f>"616.8/34"</f>
        <v>616.8/34</v>
      </c>
      <c r="P2022" t="b">
        <v>0</v>
      </c>
      <c r="R2022" t="str">
        <f>"9781931981330"</f>
        <v>9781931981330</v>
      </c>
      <c r="S2022" t="str">
        <f>"9781937309374"</f>
        <v>9781937309374</v>
      </c>
      <c r="T2022">
        <v>750173229</v>
      </c>
    </row>
    <row r="2023" spans="1:20" x14ac:dyDescent="0.25">
      <c r="A2023">
        <v>382442</v>
      </c>
      <c r="B2023" t="s">
        <v>9955</v>
      </c>
      <c r="D2023" t="s">
        <v>9839</v>
      </c>
      <c r="E2023" t="s">
        <v>9839</v>
      </c>
      <c r="F2023">
        <v>2005</v>
      </c>
      <c r="G2023" t="s">
        <v>9201</v>
      </c>
      <c r="H2023" t="s">
        <v>9956</v>
      </c>
      <c r="I2023" t="s">
        <v>9957</v>
      </c>
      <c r="J2023" t="s">
        <v>26</v>
      </c>
      <c r="K2023" t="s">
        <v>27</v>
      </c>
      <c r="L2023" t="b">
        <v>1</v>
      </c>
      <c r="M2023" t="s">
        <v>9958</v>
      </c>
      <c r="N2023" t="str">
        <f>"616.6/922"</f>
        <v>616.6/922</v>
      </c>
      <c r="P2023" t="b">
        <v>0</v>
      </c>
      <c r="R2023" t="str">
        <f>"9781931981446"</f>
        <v>9781931981446</v>
      </c>
      <c r="S2023" t="str">
        <f>"9781937309367"</f>
        <v>9781937309367</v>
      </c>
      <c r="T2023">
        <v>750172678</v>
      </c>
    </row>
    <row r="2024" spans="1:20" x14ac:dyDescent="0.25">
      <c r="A2024">
        <v>382441</v>
      </c>
      <c r="B2024" t="s">
        <v>9959</v>
      </c>
      <c r="D2024" t="s">
        <v>9839</v>
      </c>
      <c r="E2024" t="s">
        <v>9839</v>
      </c>
      <c r="F2024">
        <v>2008</v>
      </c>
      <c r="G2024" t="s">
        <v>7367</v>
      </c>
      <c r="H2024" t="s">
        <v>9960</v>
      </c>
      <c r="I2024" t="s">
        <v>9961</v>
      </c>
      <c r="J2024" t="s">
        <v>26</v>
      </c>
      <c r="K2024" t="s">
        <v>27</v>
      </c>
      <c r="L2024" t="b">
        <v>1</v>
      </c>
      <c r="M2024" t="s">
        <v>9962</v>
      </c>
      <c r="N2024" t="str">
        <f>"616.3/997"</f>
        <v>616.3/997</v>
      </c>
      <c r="P2024" t="b">
        <v>0</v>
      </c>
      <c r="R2024" t="str">
        <f>"9781935103059"</f>
        <v>9781935103059</v>
      </c>
      <c r="S2024" t="str">
        <f>"9781935103622"</f>
        <v>9781935103622</v>
      </c>
      <c r="T2024">
        <v>752932579</v>
      </c>
    </row>
    <row r="2025" spans="1:20" x14ac:dyDescent="0.25">
      <c r="A2025">
        <v>382440</v>
      </c>
      <c r="B2025" t="s">
        <v>9963</v>
      </c>
      <c r="D2025" t="s">
        <v>9839</v>
      </c>
      <c r="E2025" t="s">
        <v>9839</v>
      </c>
      <c r="F2025">
        <v>2009</v>
      </c>
      <c r="G2025" t="s">
        <v>8690</v>
      </c>
      <c r="H2025" t="s">
        <v>9964</v>
      </c>
      <c r="I2025" t="s">
        <v>9965</v>
      </c>
      <c r="J2025" t="s">
        <v>26</v>
      </c>
      <c r="K2025" t="s">
        <v>27</v>
      </c>
      <c r="L2025" t="b">
        <v>1</v>
      </c>
      <c r="M2025" t="s">
        <v>9966</v>
      </c>
      <c r="N2025" t="str">
        <f>"616.34"</f>
        <v>616.34</v>
      </c>
      <c r="P2025" t="b">
        <v>0</v>
      </c>
      <c r="R2025" t="str">
        <f>"9781935103387"</f>
        <v>9781935103387</v>
      </c>
      <c r="S2025" t="str">
        <f>"9781937309350"</f>
        <v>9781937309350</v>
      </c>
      <c r="T2025">
        <v>752939804</v>
      </c>
    </row>
    <row r="2026" spans="1:20" x14ac:dyDescent="0.25">
      <c r="A2026">
        <v>382439</v>
      </c>
      <c r="B2026" t="s">
        <v>9967</v>
      </c>
      <c r="D2026" t="s">
        <v>9839</v>
      </c>
      <c r="E2026" t="s">
        <v>9839</v>
      </c>
      <c r="F2026">
        <v>2009</v>
      </c>
      <c r="G2026" t="s">
        <v>1054</v>
      </c>
      <c r="H2026" t="s">
        <v>9968</v>
      </c>
      <c r="I2026" t="s">
        <v>9969</v>
      </c>
      <c r="J2026" t="s">
        <v>26</v>
      </c>
      <c r="K2026" t="s">
        <v>27</v>
      </c>
      <c r="L2026" t="b">
        <v>1</v>
      </c>
      <c r="M2026" t="s">
        <v>9970</v>
      </c>
      <c r="N2026" t="str">
        <f>"616.1/36"</f>
        <v>616.1/36</v>
      </c>
      <c r="P2026" t="b">
        <v>0</v>
      </c>
      <c r="R2026" t="str">
        <f>"9781935103226"</f>
        <v>9781935103226</v>
      </c>
      <c r="S2026" t="str">
        <f>"9781935103615"</f>
        <v>9781935103615</v>
      </c>
      <c r="T2026">
        <v>752929559</v>
      </c>
    </row>
    <row r="2027" spans="1:20" x14ac:dyDescent="0.25">
      <c r="A2027">
        <v>382438</v>
      </c>
      <c r="B2027" t="s">
        <v>9971</v>
      </c>
      <c r="D2027" t="s">
        <v>9839</v>
      </c>
      <c r="E2027" t="s">
        <v>9839</v>
      </c>
      <c r="F2027">
        <v>2009</v>
      </c>
      <c r="G2027" t="s">
        <v>1054</v>
      </c>
      <c r="H2027" t="s">
        <v>9972</v>
      </c>
      <c r="I2027" t="s">
        <v>9973</v>
      </c>
      <c r="J2027" t="s">
        <v>26</v>
      </c>
      <c r="K2027" t="s">
        <v>27</v>
      </c>
      <c r="L2027" t="b">
        <v>1</v>
      </c>
      <c r="M2027" t="s">
        <v>9974</v>
      </c>
      <c r="N2027" t="str">
        <f>"616.1/32/008996073"</f>
        <v>616.1/32/008996073</v>
      </c>
      <c r="P2027" t="b">
        <v>0</v>
      </c>
      <c r="R2027" t="str">
        <f>"9781935103158"</f>
        <v>9781935103158</v>
      </c>
      <c r="S2027" t="str">
        <f>"9781935103400"</f>
        <v>9781935103400</v>
      </c>
      <c r="T2027">
        <v>750172613</v>
      </c>
    </row>
    <row r="2028" spans="1:20" x14ac:dyDescent="0.25">
      <c r="A2028">
        <v>382437</v>
      </c>
      <c r="B2028" t="s">
        <v>9975</v>
      </c>
      <c r="D2028" t="s">
        <v>9839</v>
      </c>
      <c r="E2028" t="s">
        <v>9839</v>
      </c>
      <c r="F2028">
        <v>2009</v>
      </c>
      <c r="G2028" t="s">
        <v>1054</v>
      </c>
      <c r="H2028" t="s">
        <v>9976</v>
      </c>
      <c r="I2028" t="s">
        <v>9977</v>
      </c>
      <c r="J2028" t="s">
        <v>26</v>
      </c>
      <c r="K2028" t="s">
        <v>27</v>
      </c>
      <c r="L2028" t="b">
        <v>1</v>
      </c>
      <c r="M2028" t="s">
        <v>9978</v>
      </c>
      <c r="N2028" t="str">
        <f>"616.1/32"</f>
        <v>616.1/32</v>
      </c>
      <c r="P2028" t="b">
        <v>0</v>
      </c>
      <c r="R2028" t="str">
        <f>"9781935103080"</f>
        <v>9781935103080</v>
      </c>
      <c r="S2028" t="str">
        <f>"9781935103417"</f>
        <v>9781935103417</v>
      </c>
      <c r="T2028">
        <v>750174740</v>
      </c>
    </row>
    <row r="2029" spans="1:20" x14ac:dyDescent="0.25">
      <c r="A2029">
        <v>382436</v>
      </c>
      <c r="B2029" t="s">
        <v>9979</v>
      </c>
      <c r="D2029" t="s">
        <v>9839</v>
      </c>
      <c r="E2029" t="s">
        <v>9839</v>
      </c>
      <c r="F2029">
        <v>2009</v>
      </c>
      <c r="G2029" t="s">
        <v>1054</v>
      </c>
      <c r="H2029" t="s">
        <v>9980</v>
      </c>
      <c r="I2029" t="s">
        <v>9981</v>
      </c>
      <c r="J2029" t="s">
        <v>26</v>
      </c>
      <c r="K2029" t="s">
        <v>27</v>
      </c>
      <c r="L2029" t="b">
        <v>1</v>
      </c>
      <c r="M2029" t="s">
        <v>9982</v>
      </c>
      <c r="N2029" t="str">
        <f>"616.1/32"</f>
        <v>616.1/32</v>
      </c>
      <c r="P2029" t="b">
        <v>0</v>
      </c>
      <c r="R2029" t="str">
        <f>"9781935103257"</f>
        <v>9781935103257</v>
      </c>
      <c r="S2029" t="str">
        <f>"9781935103394"</f>
        <v>9781935103394</v>
      </c>
      <c r="T2029">
        <v>752921918</v>
      </c>
    </row>
    <row r="2030" spans="1:20" x14ac:dyDescent="0.25">
      <c r="A2030">
        <v>382435</v>
      </c>
      <c r="B2030" t="s">
        <v>9983</v>
      </c>
      <c r="D2030" t="s">
        <v>9839</v>
      </c>
      <c r="E2030" t="s">
        <v>9839</v>
      </c>
      <c r="F2030">
        <v>2009</v>
      </c>
      <c r="G2030" t="s">
        <v>9984</v>
      </c>
      <c r="H2030" t="s">
        <v>9985</v>
      </c>
      <c r="I2030" t="s">
        <v>9986</v>
      </c>
      <c r="J2030" t="s">
        <v>26</v>
      </c>
      <c r="K2030" t="s">
        <v>27</v>
      </c>
      <c r="L2030" t="b">
        <v>1</v>
      </c>
      <c r="M2030" t="s">
        <v>9987</v>
      </c>
      <c r="N2030" t="str">
        <f>"616.97/92"</f>
        <v>616.97/92</v>
      </c>
      <c r="P2030" t="b">
        <v>0</v>
      </c>
      <c r="R2030" t="str">
        <f>"9781935103073"</f>
        <v>9781935103073</v>
      </c>
      <c r="S2030" t="str">
        <f>"9781937309343"</f>
        <v>9781937309343</v>
      </c>
      <c r="T2030">
        <v>750173020</v>
      </c>
    </row>
    <row r="2031" spans="1:20" x14ac:dyDescent="0.25">
      <c r="A2031">
        <v>382434</v>
      </c>
      <c r="B2031" t="s">
        <v>9988</v>
      </c>
      <c r="D2031" t="s">
        <v>9839</v>
      </c>
      <c r="E2031" t="s">
        <v>9839</v>
      </c>
      <c r="F2031">
        <v>2005</v>
      </c>
      <c r="G2031" t="s">
        <v>7394</v>
      </c>
      <c r="H2031" t="s">
        <v>9989</v>
      </c>
      <c r="I2031" t="s">
        <v>9990</v>
      </c>
      <c r="J2031" t="s">
        <v>26</v>
      </c>
      <c r="K2031" t="s">
        <v>27</v>
      </c>
      <c r="L2031" t="b">
        <v>1</v>
      </c>
      <c r="M2031" t="s">
        <v>9991</v>
      </c>
      <c r="N2031" t="str">
        <f>"616.1/29"</f>
        <v>616.1/29</v>
      </c>
      <c r="P2031" t="b">
        <v>0</v>
      </c>
      <c r="R2031" t="str">
        <f>"9781931981514"</f>
        <v>9781931981514</v>
      </c>
      <c r="S2031" t="str">
        <f>"9781937309336"</f>
        <v>9781937309336</v>
      </c>
      <c r="T2031">
        <v>750173088</v>
      </c>
    </row>
    <row r="2032" spans="1:20" x14ac:dyDescent="0.25">
      <c r="A2032">
        <v>382433</v>
      </c>
      <c r="B2032" t="s">
        <v>9992</v>
      </c>
      <c r="D2032" t="s">
        <v>9839</v>
      </c>
      <c r="E2032" t="s">
        <v>9839</v>
      </c>
      <c r="F2032">
        <v>2000</v>
      </c>
      <c r="G2032" t="s">
        <v>5889</v>
      </c>
      <c r="H2032" t="s">
        <v>9993</v>
      </c>
      <c r="I2032" t="s">
        <v>9994</v>
      </c>
      <c r="J2032" t="s">
        <v>26</v>
      </c>
      <c r="K2032" t="s">
        <v>27</v>
      </c>
      <c r="L2032" t="b">
        <v>1</v>
      </c>
      <c r="M2032" t="s">
        <v>9995</v>
      </c>
      <c r="N2032" t="str">
        <f>"616.8/491"</f>
        <v>616.8/491</v>
      </c>
      <c r="P2032" t="b">
        <v>0</v>
      </c>
      <c r="R2032" t="str">
        <f>"9781884065613"</f>
        <v>9781884065613</v>
      </c>
      <c r="S2032" t="str">
        <f>"9781935103608"</f>
        <v>9781935103608</v>
      </c>
      <c r="T2032">
        <v>750175271</v>
      </c>
    </row>
    <row r="2033" spans="1:20" x14ac:dyDescent="0.25">
      <c r="A2033">
        <v>382432</v>
      </c>
      <c r="B2033" t="s">
        <v>9996</v>
      </c>
      <c r="D2033" t="s">
        <v>9839</v>
      </c>
      <c r="E2033" t="s">
        <v>9839</v>
      </c>
      <c r="F2033">
        <v>2005</v>
      </c>
      <c r="G2033" t="s">
        <v>8690</v>
      </c>
      <c r="H2033" t="s">
        <v>9997</v>
      </c>
      <c r="I2033" t="s">
        <v>9998</v>
      </c>
      <c r="J2033" t="s">
        <v>26</v>
      </c>
      <c r="K2033" t="s">
        <v>27</v>
      </c>
      <c r="L2033" t="b">
        <v>1</v>
      </c>
      <c r="M2033" t="s">
        <v>9999</v>
      </c>
      <c r="N2033" t="str">
        <f>"616.3/3"</f>
        <v>616.3/3</v>
      </c>
      <c r="P2033" t="b">
        <v>0</v>
      </c>
      <c r="R2033" t="str">
        <f>"9781931981491"</f>
        <v>9781931981491</v>
      </c>
      <c r="S2033" t="str">
        <f>"9781937309329"</f>
        <v>9781937309329</v>
      </c>
      <c r="T2033">
        <v>750172711</v>
      </c>
    </row>
    <row r="2034" spans="1:20" x14ac:dyDescent="0.25">
      <c r="A2034">
        <v>382431</v>
      </c>
      <c r="B2034" t="s">
        <v>10000</v>
      </c>
      <c r="D2034" t="s">
        <v>9839</v>
      </c>
      <c r="E2034" t="s">
        <v>9839</v>
      </c>
      <c r="F2034">
        <v>2009</v>
      </c>
      <c r="G2034" t="s">
        <v>10001</v>
      </c>
      <c r="H2034" t="s">
        <v>10002</v>
      </c>
      <c r="I2034" t="s">
        <v>10003</v>
      </c>
      <c r="J2034" t="s">
        <v>26</v>
      </c>
      <c r="K2034" t="s">
        <v>27</v>
      </c>
      <c r="L2034" t="b">
        <v>1</v>
      </c>
      <c r="M2034" t="s">
        <v>10004</v>
      </c>
      <c r="N2034" t="str">
        <f>"616.9/69"</f>
        <v>616.9/69</v>
      </c>
      <c r="P2034" t="b">
        <v>0</v>
      </c>
      <c r="R2034" t="str">
        <f>"9781935103264"</f>
        <v>9781935103264</v>
      </c>
      <c r="S2034" t="str">
        <f>"9781937309312"</f>
        <v>9781937309312</v>
      </c>
      <c r="T2034">
        <v>752924761</v>
      </c>
    </row>
    <row r="2035" spans="1:20" x14ac:dyDescent="0.25">
      <c r="A2035">
        <v>382430</v>
      </c>
      <c r="B2035" t="s">
        <v>10005</v>
      </c>
      <c r="D2035" t="s">
        <v>9839</v>
      </c>
      <c r="E2035" t="s">
        <v>9839</v>
      </c>
      <c r="F2035">
        <v>2009</v>
      </c>
      <c r="G2035" t="s">
        <v>8690</v>
      </c>
      <c r="H2035" t="s">
        <v>10006</v>
      </c>
      <c r="I2035" t="s">
        <v>10007</v>
      </c>
      <c r="J2035" t="s">
        <v>26</v>
      </c>
      <c r="K2035" t="s">
        <v>27</v>
      </c>
      <c r="L2035" t="b">
        <v>1</v>
      </c>
      <c r="M2035" t="s">
        <v>10008</v>
      </c>
      <c r="N2035" t="str">
        <f>"616.3/3"</f>
        <v>616.3/3</v>
      </c>
      <c r="P2035" t="b">
        <v>0</v>
      </c>
      <c r="R2035" t="str">
        <f>"9781935103318"</f>
        <v>9781935103318</v>
      </c>
      <c r="S2035" t="str">
        <f>"9781935103592"</f>
        <v>9781935103592</v>
      </c>
      <c r="T2035">
        <v>752914441</v>
      </c>
    </row>
    <row r="2036" spans="1:20" x14ac:dyDescent="0.25">
      <c r="A2036">
        <v>382428</v>
      </c>
      <c r="B2036" t="s">
        <v>10009</v>
      </c>
      <c r="D2036" t="s">
        <v>9839</v>
      </c>
      <c r="E2036" t="s">
        <v>9839</v>
      </c>
      <c r="F2036">
        <v>2006</v>
      </c>
      <c r="G2036" t="s">
        <v>8991</v>
      </c>
      <c r="H2036" t="s">
        <v>10010</v>
      </c>
      <c r="I2036" t="s">
        <v>10011</v>
      </c>
      <c r="J2036" t="s">
        <v>26</v>
      </c>
      <c r="K2036" t="s">
        <v>27</v>
      </c>
      <c r="L2036" t="b">
        <v>1</v>
      </c>
      <c r="M2036" t="s">
        <v>9850</v>
      </c>
      <c r="N2036" t="str">
        <f>"616.9075"</f>
        <v>616.9075</v>
      </c>
      <c r="P2036" t="b">
        <v>0</v>
      </c>
      <c r="R2036" t="str">
        <f>"9781931981682"</f>
        <v>9781931981682</v>
      </c>
      <c r="S2036" t="str">
        <f>"9781937309305"</f>
        <v>9781937309305</v>
      </c>
      <c r="T2036">
        <v>750173148</v>
      </c>
    </row>
    <row r="2037" spans="1:20" x14ac:dyDescent="0.25">
      <c r="A2037">
        <v>382427</v>
      </c>
      <c r="B2037" t="s">
        <v>10012</v>
      </c>
      <c r="D2037" t="s">
        <v>9839</v>
      </c>
      <c r="E2037" t="s">
        <v>9839</v>
      </c>
      <c r="F2037">
        <v>2009</v>
      </c>
      <c r="G2037" t="s">
        <v>9212</v>
      </c>
      <c r="H2037" t="s">
        <v>10013</v>
      </c>
      <c r="I2037" t="s">
        <v>10014</v>
      </c>
      <c r="J2037" t="s">
        <v>26</v>
      </c>
      <c r="K2037" t="s">
        <v>27</v>
      </c>
      <c r="L2037" t="b">
        <v>1</v>
      </c>
      <c r="M2037" t="s">
        <v>10015</v>
      </c>
      <c r="N2037" t="str">
        <f>"616.3/997"</f>
        <v>616.3/997</v>
      </c>
      <c r="P2037" t="b">
        <v>0</v>
      </c>
      <c r="R2037" t="str">
        <f>"9781935103103"</f>
        <v>9781935103103</v>
      </c>
      <c r="S2037" t="str">
        <f>"9781937309299"</f>
        <v>9781937309299</v>
      </c>
      <c r="T2037">
        <v>750173185</v>
      </c>
    </row>
    <row r="2038" spans="1:20" x14ac:dyDescent="0.25">
      <c r="A2038">
        <v>382426</v>
      </c>
      <c r="B2038" t="s">
        <v>10016</v>
      </c>
      <c r="D2038" t="s">
        <v>9839</v>
      </c>
      <c r="E2038" t="s">
        <v>9839</v>
      </c>
      <c r="F2038">
        <v>2005</v>
      </c>
      <c r="G2038" t="s">
        <v>10017</v>
      </c>
      <c r="H2038" t="s">
        <v>10018</v>
      </c>
      <c r="I2038" t="s">
        <v>10019</v>
      </c>
      <c r="J2038" t="s">
        <v>26</v>
      </c>
      <c r="K2038" t="s">
        <v>27</v>
      </c>
      <c r="L2038" t="b">
        <v>1</v>
      </c>
      <c r="M2038" t="s">
        <v>10020</v>
      </c>
      <c r="N2038" t="str">
        <f>"616.6/5"</f>
        <v>616.6/5</v>
      </c>
      <c r="P2038" t="b">
        <v>0</v>
      </c>
      <c r="R2038" t="str">
        <f>"9781931981453"</f>
        <v>9781931981453</v>
      </c>
      <c r="S2038" t="str">
        <f>"9781937309282"</f>
        <v>9781937309282</v>
      </c>
      <c r="T2038">
        <v>752932437</v>
      </c>
    </row>
    <row r="2039" spans="1:20" x14ac:dyDescent="0.25">
      <c r="A2039">
        <v>382425</v>
      </c>
      <c r="B2039" t="s">
        <v>10021</v>
      </c>
      <c r="D2039" t="s">
        <v>9839</v>
      </c>
      <c r="E2039" t="s">
        <v>9839</v>
      </c>
      <c r="F2039">
        <v>2006</v>
      </c>
      <c r="G2039" t="s">
        <v>2122</v>
      </c>
      <c r="H2039" t="s">
        <v>10022</v>
      </c>
      <c r="I2039" t="s">
        <v>10023</v>
      </c>
      <c r="J2039" t="s">
        <v>26</v>
      </c>
      <c r="K2039" t="s">
        <v>27</v>
      </c>
      <c r="L2039" t="b">
        <v>1</v>
      </c>
      <c r="M2039" t="s">
        <v>10024</v>
      </c>
      <c r="N2039" t="str">
        <f>"617.5/85"</f>
        <v>617.5/85</v>
      </c>
      <c r="P2039" t="b">
        <v>0</v>
      </c>
      <c r="R2039" t="str">
        <f>"9781931981637"</f>
        <v>9781931981637</v>
      </c>
      <c r="S2039" t="str">
        <f>"9781937309275"</f>
        <v>9781937309275</v>
      </c>
      <c r="T2039">
        <v>750173751</v>
      </c>
    </row>
    <row r="2040" spans="1:20" x14ac:dyDescent="0.25">
      <c r="A2040">
        <v>382424</v>
      </c>
      <c r="B2040" t="s">
        <v>10025</v>
      </c>
      <c r="D2040" t="s">
        <v>9839</v>
      </c>
      <c r="E2040" t="s">
        <v>9839</v>
      </c>
      <c r="F2040">
        <v>2009</v>
      </c>
      <c r="G2040" t="s">
        <v>8679</v>
      </c>
      <c r="H2040" t="s">
        <v>10026</v>
      </c>
      <c r="I2040" t="s">
        <v>10027</v>
      </c>
      <c r="J2040" t="s">
        <v>26</v>
      </c>
      <c r="K2040" t="s">
        <v>27</v>
      </c>
      <c r="L2040" t="b">
        <v>1</v>
      </c>
      <c r="M2040" t="s">
        <v>10028</v>
      </c>
      <c r="N2040" t="str">
        <f>"616.2/4"</f>
        <v>616.2/4</v>
      </c>
      <c r="P2040" t="b">
        <v>0</v>
      </c>
      <c r="R2040" t="str">
        <f>"9781935103189"</f>
        <v>9781935103189</v>
      </c>
      <c r="S2040" t="str">
        <f>"9781935103578"</f>
        <v>9781935103578</v>
      </c>
      <c r="T2040">
        <v>752921896</v>
      </c>
    </row>
    <row r="2041" spans="1:20" x14ac:dyDescent="0.25">
      <c r="A2041">
        <v>382423</v>
      </c>
      <c r="B2041" t="s">
        <v>10029</v>
      </c>
      <c r="D2041" t="s">
        <v>9839</v>
      </c>
      <c r="E2041" t="s">
        <v>9839</v>
      </c>
      <c r="F2041">
        <v>2006</v>
      </c>
      <c r="G2041" t="s">
        <v>8679</v>
      </c>
      <c r="H2041" t="s">
        <v>10030</v>
      </c>
      <c r="I2041" t="s">
        <v>10031</v>
      </c>
      <c r="J2041" t="s">
        <v>26</v>
      </c>
      <c r="K2041" t="s">
        <v>27</v>
      </c>
      <c r="L2041" t="b">
        <v>1</v>
      </c>
      <c r="M2041" t="s">
        <v>10032</v>
      </c>
      <c r="N2041" t="str">
        <f>"616.2/41"</f>
        <v>616.2/41</v>
      </c>
      <c r="P2041" t="b">
        <v>0</v>
      </c>
      <c r="R2041" t="str">
        <f>"9781931981422"</f>
        <v>9781931981422</v>
      </c>
      <c r="S2041" t="str">
        <f>"9781937309268"</f>
        <v>9781937309268</v>
      </c>
      <c r="T2041">
        <v>750174672</v>
      </c>
    </row>
    <row r="2042" spans="1:20" x14ac:dyDescent="0.25">
      <c r="A2042">
        <v>382421</v>
      </c>
      <c r="B2042" t="s">
        <v>10033</v>
      </c>
      <c r="D2042" t="s">
        <v>9839</v>
      </c>
      <c r="E2042" t="s">
        <v>9839</v>
      </c>
      <c r="F2042">
        <v>2004</v>
      </c>
      <c r="G2042" t="s">
        <v>10034</v>
      </c>
      <c r="H2042" t="s">
        <v>10035</v>
      </c>
      <c r="I2042" t="s">
        <v>10036</v>
      </c>
      <c r="J2042" t="s">
        <v>26</v>
      </c>
      <c r="K2042" t="s">
        <v>27</v>
      </c>
      <c r="L2042" t="b">
        <v>1</v>
      </c>
      <c r="M2042" t="s">
        <v>10037</v>
      </c>
      <c r="N2042" t="str">
        <f>"616.2/34"</f>
        <v>616.2/34</v>
      </c>
      <c r="P2042" t="b">
        <v>0</v>
      </c>
      <c r="R2042" t="str">
        <f>"9781931981439"</f>
        <v>9781931981439</v>
      </c>
      <c r="S2042" t="str">
        <f>"9781937309251"</f>
        <v>9781937309251</v>
      </c>
      <c r="T2042">
        <v>752935570</v>
      </c>
    </row>
    <row r="2043" spans="1:20" x14ac:dyDescent="0.25">
      <c r="A2043">
        <v>382420</v>
      </c>
      <c r="B2043" t="s">
        <v>10038</v>
      </c>
      <c r="D2043" t="s">
        <v>9839</v>
      </c>
      <c r="E2043" t="s">
        <v>9839</v>
      </c>
      <c r="F2043">
        <v>2009</v>
      </c>
      <c r="G2043" t="s">
        <v>8669</v>
      </c>
      <c r="H2043" t="s">
        <v>10039</v>
      </c>
      <c r="I2043" t="s">
        <v>10040</v>
      </c>
      <c r="J2043" t="s">
        <v>26</v>
      </c>
      <c r="K2043" t="s">
        <v>27</v>
      </c>
      <c r="L2043" t="b">
        <v>1</v>
      </c>
      <c r="M2043" t="s">
        <v>10041</v>
      </c>
      <c r="N2043" t="str">
        <f>"616.99/449"</f>
        <v>616.99/449</v>
      </c>
      <c r="P2043" t="b">
        <v>0</v>
      </c>
      <c r="R2043" t="str">
        <f>"9781935103066"</f>
        <v>9781935103066</v>
      </c>
      <c r="S2043" t="str">
        <f>"9781935103554"</f>
        <v>9781935103554</v>
      </c>
      <c r="T2043">
        <v>752144594</v>
      </c>
    </row>
    <row r="2044" spans="1:20" x14ac:dyDescent="0.25">
      <c r="A2044">
        <v>382419</v>
      </c>
      <c r="B2044" t="s">
        <v>10042</v>
      </c>
      <c r="D2044" t="s">
        <v>9839</v>
      </c>
      <c r="E2044" t="s">
        <v>9839</v>
      </c>
      <c r="F2044">
        <v>2005</v>
      </c>
      <c r="G2044" t="s">
        <v>10043</v>
      </c>
      <c r="H2044" t="s">
        <v>10044</v>
      </c>
      <c r="I2044" t="s">
        <v>10045</v>
      </c>
      <c r="J2044" t="s">
        <v>26</v>
      </c>
      <c r="K2044" t="s">
        <v>27</v>
      </c>
      <c r="L2044" t="b">
        <v>1</v>
      </c>
      <c r="M2044" t="s">
        <v>10046</v>
      </c>
      <c r="N2044" t="str">
        <f>"616.6/2"</f>
        <v>616.6/2</v>
      </c>
      <c r="P2044" t="b">
        <v>0</v>
      </c>
      <c r="R2044" t="str">
        <f>"9781931981460"</f>
        <v>9781931981460</v>
      </c>
      <c r="S2044" t="str">
        <f>"9781937309244"</f>
        <v>9781937309244</v>
      </c>
      <c r="T2044">
        <v>750173010</v>
      </c>
    </row>
    <row r="2045" spans="1:20" x14ac:dyDescent="0.25">
      <c r="A2045">
        <v>382418</v>
      </c>
      <c r="B2045" t="s">
        <v>10047</v>
      </c>
      <c r="D2045" t="s">
        <v>9839</v>
      </c>
      <c r="E2045" t="s">
        <v>9839</v>
      </c>
      <c r="F2045">
        <v>2009</v>
      </c>
      <c r="G2045" t="s">
        <v>10048</v>
      </c>
      <c r="H2045" t="s">
        <v>10049</v>
      </c>
      <c r="I2045" t="s">
        <v>10050</v>
      </c>
      <c r="J2045" t="s">
        <v>26</v>
      </c>
      <c r="K2045" t="s">
        <v>27</v>
      </c>
      <c r="L2045" t="b">
        <v>1</v>
      </c>
      <c r="M2045" t="s">
        <v>10051</v>
      </c>
      <c r="N2045" t="str">
        <f>"616.89/5"</f>
        <v>616.89/5</v>
      </c>
      <c r="P2045" t="b">
        <v>0</v>
      </c>
      <c r="R2045" t="str">
        <f>"9781935103288"</f>
        <v>9781935103288</v>
      </c>
      <c r="S2045" t="str">
        <f>"9781937309237"</f>
        <v>9781937309237</v>
      </c>
      <c r="T2045">
        <v>752921924</v>
      </c>
    </row>
    <row r="2046" spans="1:20" x14ac:dyDescent="0.25">
      <c r="A2046">
        <v>382417</v>
      </c>
      <c r="B2046" t="s">
        <v>10052</v>
      </c>
      <c r="D2046" t="s">
        <v>9839</v>
      </c>
      <c r="E2046" t="s">
        <v>9839</v>
      </c>
      <c r="F2046">
        <v>2009</v>
      </c>
      <c r="G2046" t="s">
        <v>10017</v>
      </c>
      <c r="H2046" t="s">
        <v>10053</v>
      </c>
      <c r="I2046" t="s">
        <v>10054</v>
      </c>
      <c r="J2046" t="s">
        <v>26</v>
      </c>
      <c r="K2046" t="s">
        <v>27</v>
      </c>
      <c r="L2046" t="b">
        <v>1</v>
      </c>
      <c r="M2046" t="s">
        <v>10055</v>
      </c>
      <c r="N2046" t="str">
        <f>"616.6/5"</f>
        <v>616.6/5</v>
      </c>
      <c r="P2046" t="b">
        <v>0</v>
      </c>
      <c r="R2046" t="str">
        <f>"9781935103370"</f>
        <v>9781935103370</v>
      </c>
      <c r="S2046" t="str">
        <f>"9781937309220"</f>
        <v>9781937309220</v>
      </c>
      <c r="T2046">
        <v>752927636</v>
      </c>
    </row>
    <row r="2047" spans="1:20" x14ac:dyDescent="0.25">
      <c r="A2047">
        <v>382416</v>
      </c>
      <c r="B2047" t="s">
        <v>10056</v>
      </c>
      <c r="D2047" t="s">
        <v>9839</v>
      </c>
      <c r="E2047" t="s">
        <v>9839</v>
      </c>
      <c r="F2047">
        <v>2004</v>
      </c>
      <c r="G2047" t="s">
        <v>8789</v>
      </c>
      <c r="H2047" t="s">
        <v>10057</v>
      </c>
      <c r="I2047" t="s">
        <v>10058</v>
      </c>
      <c r="J2047" t="s">
        <v>26</v>
      </c>
      <c r="K2047" t="s">
        <v>27</v>
      </c>
      <c r="L2047" t="b">
        <v>1</v>
      </c>
      <c r="M2047" t="s">
        <v>10059</v>
      </c>
      <c r="N2047" t="str">
        <f>"616.85/89"</f>
        <v>616.85/89</v>
      </c>
      <c r="P2047" t="b">
        <v>0</v>
      </c>
      <c r="R2047" t="str">
        <f>"9781931981293"</f>
        <v>9781931981293</v>
      </c>
      <c r="S2047" t="str">
        <f>"9781937309213"</f>
        <v>9781937309213</v>
      </c>
      <c r="T2047">
        <v>750175334</v>
      </c>
    </row>
    <row r="2048" spans="1:20" x14ac:dyDescent="0.25">
      <c r="A2048">
        <v>382415</v>
      </c>
      <c r="B2048" t="s">
        <v>10060</v>
      </c>
      <c r="D2048" t="s">
        <v>9839</v>
      </c>
      <c r="E2048" t="s">
        <v>9839</v>
      </c>
      <c r="F2048">
        <v>2006</v>
      </c>
      <c r="G2048" t="s">
        <v>10061</v>
      </c>
      <c r="H2048" t="s">
        <v>10062</v>
      </c>
      <c r="I2048" t="s">
        <v>10063</v>
      </c>
      <c r="J2048" t="s">
        <v>26</v>
      </c>
      <c r="K2048" t="s">
        <v>27</v>
      </c>
      <c r="L2048" t="b">
        <v>1</v>
      </c>
      <c r="M2048" t="s">
        <v>10064</v>
      </c>
      <c r="N2048" t="str">
        <f>"616.85/22"</f>
        <v>616.85/22</v>
      </c>
      <c r="P2048" t="b">
        <v>0</v>
      </c>
      <c r="R2048" t="str">
        <f>"9781931981620"</f>
        <v>9781931981620</v>
      </c>
      <c r="S2048" t="str">
        <f>"9781937309206"</f>
        <v>9781937309206</v>
      </c>
      <c r="T2048">
        <v>750173745</v>
      </c>
    </row>
    <row r="2049" spans="1:20" x14ac:dyDescent="0.25">
      <c r="A2049">
        <v>382414</v>
      </c>
      <c r="B2049" t="s">
        <v>10065</v>
      </c>
      <c r="D2049" t="s">
        <v>9839</v>
      </c>
      <c r="E2049" t="s">
        <v>9839</v>
      </c>
      <c r="F2049">
        <v>2008</v>
      </c>
      <c r="G2049" t="s">
        <v>10066</v>
      </c>
      <c r="H2049" t="s">
        <v>10067</v>
      </c>
      <c r="I2049" t="s">
        <v>10068</v>
      </c>
      <c r="J2049" t="s">
        <v>26</v>
      </c>
      <c r="K2049" t="s">
        <v>27</v>
      </c>
      <c r="L2049" t="b">
        <v>1</v>
      </c>
      <c r="M2049" t="s">
        <v>10069</v>
      </c>
      <c r="N2049" t="str">
        <f>"616.9/041"</f>
        <v>616.9/041</v>
      </c>
      <c r="P2049" t="b">
        <v>0</v>
      </c>
      <c r="R2049" t="str">
        <f>"9781931981842"</f>
        <v>9781931981842</v>
      </c>
      <c r="S2049" t="str">
        <f>"9781935103547"</f>
        <v>9781935103547</v>
      </c>
      <c r="T2049">
        <v>752165289</v>
      </c>
    </row>
    <row r="2050" spans="1:20" x14ac:dyDescent="0.25">
      <c r="A2050">
        <v>382413</v>
      </c>
      <c r="B2050" t="s">
        <v>10070</v>
      </c>
      <c r="D2050" t="s">
        <v>9839</v>
      </c>
      <c r="E2050" t="s">
        <v>9839</v>
      </c>
      <c r="F2050">
        <v>2004</v>
      </c>
      <c r="G2050" t="s">
        <v>2116</v>
      </c>
      <c r="H2050" t="s">
        <v>10071</v>
      </c>
      <c r="I2050" t="s">
        <v>10072</v>
      </c>
      <c r="J2050" t="s">
        <v>26</v>
      </c>
      <c r="K2050" t="s">
        <v>27</v>
      </c>
      <c r="L2050" t="b">
        <v>1</v>
      </c>
      <c r="M2050" t="s">
        <v>10073</v>
      </c>
      <c r="N2050" t="str">
        <f>"571.9/93"</f>
        <v>571.9/93</v>
      </c>
      <c r="P2050" t="b">
        <v>0</v>
      </c>
      <c r="R2050" t="str">
        <f>"9781931981378"</f>
        <v>9781931981378</v>
      </c>
      <c r="S2050" t="str">
        <f>"9781937309190"</f>
        <v>9781937309190</v>
      </c>
      <c r="T2050">
        <v>750172736</v>
      </c>
    </row>
    <row r="2051" spans="1:20" x14ac:dyDescent="0.25">
      <c r="A2051">
        <v>382412</v>
      </c>
      <c r="B2051" t="s">
        <v>10074</v>
      </c>
      <c r="D2051" t="s">
        <v>9839</v>
      </c>
      <c r="E2051" t="s">
        <v>9839</v>
      </c>
      <c r="F2051">
        <v>2009</v>
      </c>
      <c r="G2051" t="s">
        <v>7394</v>
      </c>
      <c r="H2051" t="s">
        <v>10075</v>
      </c>
      <c r="I2051" t="s">
        <v>10076</v>
      </c>
      <c r="J2051" t="s">
        <v>26</v>
      </c>
      <c r="K2051" t="s">
        <v>27</v>
      </c>
      <c r="L2051" t="b">
        <v>1</v>
      </c>
      <c r="M2051" t="s">
        <v>10077</v>
      </c>
      <c r="N2051" t="str">
        <f>"616.1/23"</f>
        <v>616.1/23</v>
      </c>
      <c r="P2051" t="b">
        <v>0</v>
      </c>
      <c r="R2051" t="str">
        <f>"9781935103172"</f>
        <v>9781935103172</v>
      </c>
      <c r="S2051" t="str">
        <f>"9781935103523"</f>
        <v>9781935103523</v>
      </c>
      <c r="T2051">
        <v>752931796</v>
      </c>
    </row>
    <row r="2052" spans="1:20" x14ac:dyDescent="0.25">
      <c r="A2052">
        <v>382411</v>
      </c>
      <c r="B2052" t="s">
        <v>10078</v>
      </c>
      <c r="D2052" t="s">
        <v>9839</v>
      </c>
      <c r="E2052" t="s">
        <v>9839</v>
      </c>
      <c r="F2052">
        <v>2009</v>
      </c>
      <c r="G2052" t="s">
        <v>7394</v>
      </c>
      <c r="H2052" t="s">
        <v>10079</v>
      </c>
      <c r="I2052" t="s">
        <v>10080</v>
      </c>
      <c r="J2052" t="s">
        <v>26</v>
      </c>
      <c r="K2052" t="s">
        <v>27</v>
      </c>
      <c r="L2052" t="b">
        <v>1</v>
      </c>
      <c r="M2052" t="s">
        <v>10081</v>
      </c>
      <c r="N2052" t="str">
        <f>"616.1/2062"</f>
        <v>616.1/2062</v>
      </c>
      <c r="P2052" t="b">
        <v>0</v>
      </c>
      <c r="R2052" t="str">
        <f>"9781935103196"</f>
        <v>9781935103196</v>
      </c>
      <c r="S2052" t="str">
        <f>"9781935103516"</f>
        <v>9781935103516</v>
      </c>
      <c r="T2052">
        <v>752921892</v>
      </c>
    </row>
    <row r="2053" spans="1:20" x14ac:dyDescent="0.25">
      <c r="A2053">
        <v>382410</v>
      </c>
      <c r="B2053" t="s">
        <v>10082</v>
      </c>
      <c r="D2053" t="s">
        <v>9839</v>
      </c>
      <c r="E2053" t="s">
        <v>9839</v>
      </c>
      <c r="F2053">
        <v>2001</v>
      </c>
      <c r="G2053" t="s">
        <v>5889</v>
      </c>
      <c r="H2053" t="s">
        <v>10083</v>
      </c>
      <c r="I2053" t="s">
        <v>9857</v>
      </c>
      <c r="J2053" t="s">
        <v>26</v>
      </c>
      <c r="K2053" t="s">
        <v>27</v>
      </c>
      <c r="L2053" t="b">
        <v>1</v>
      </c>
      <c r="M2053" t="s">
        <v>9995</v>
      </c>
      <c r="N2053" t="str">
        <f>"616.8/491"</f>
        <v>616.8/491</v>
      </c>
      <c r="P2053" t="b">
        <v>0</v>
      </c>
      <c r="R2053" t="str">
        <f>"9781884065910"</f>
        <v>9781884065910</v>
      </c>
      <c r="S2053" t="str">
        <f>"9781937309183"</f>
        <v>9781937309183</v>
      </c>
      <c r="T2053">
        <v>750174739</v>
      </c>
    </row>
    <row r="2054" spans="1:20" x14ac:dyDescent="0.25">
      <c r="A2054">
        <v>382409</v>
      </c>
      <c r="B2054" t="s">
        <v>10084</v>
      </c>
      <c r="D2054" t="s">
        <v>9839</v>
      </c>
      <c r="E2054" t="s">
        <v>9839</v>
      </c>
      <c r="F2054">
        <v>2004</v>
      </c>
      <c r="G2054" t="s">
        <v>7633</v>
      </c>
      <c r="H2054" t="s">
        <v>10085</v>
      </c>
      <c r="I2054" t="s">
        <v>10086</v>
      </c>
      <c r="J2054" t="s">
        <v>26</v>
      </c>
      <c r="K2054" t="s">
        <v>27</v>
      </c>
      <c r="L2054" t="b">
        <v>1</v>
      </c>
      <c r="M2054" t="s">
        <v>10059</v>
      </c>
      <c r="N2054" t="str">
        <f>"618.92/8589"</f>
        <v>618.92/8589</v>
      </c>
      <c r="P2054" t="b">
        <v>0</v>
      </c>
      <c r="R2054" t="str">
        <f>"9781931981408"</f>
        <v>9781931981408</v>
      </c>
      <c r="S2054" t="str">
        <f>"9781937309176"</f>
        <v>9781937309176</v>
      </c>
      <c r="T2054">
        <v>750173058</v>
      </c>
    </row>
    <row r="2055" spans="1:20" x14ac:dyDescent="0.25">
      <c r="A2055">
        <v>382401</v>
      </c>
      <c r="B2055" t="s">
        <v>10087</v>
      </c>
      <c r="D2055" t="s">
        <v>2269</v>
      </c>
      <c r="E2055" t="s">
        <v>2269</v>
      </c>
      <c r="F2055">
        <v>2009</v>
      </c>
      <c r="G2055" t="s">
        <v>876</v>
      </c>
      <c r="H2055" t="s">
        <v>10088</v>
      </c>
      <c r="I2055" t="s">
        <v>10089</v>
      </c>
      <c r="J2055" t="s">
        <v>26</v>
      </c>
      <c r="K2055" t="s">
        <v>27</v>
      </c>
      <c r="L2055" t="b">
        <v>1</v>
      </c>
      <c r="M2055" t="s">
        <v>10090</v>
      </c>
      <c r="N2055" t="str">
        <f>"616"</f>
        <v>616</v>
      </c>
      <c r="O2055" t="s">
        <v>10091</v>
      </c>
      <c r="P2055" t="b">
        <v>0</v>
      </c>
      <c r="Q2055" t="b">
        <v>0</v>
      </c>
      <c r="R2055" t="str">
        <f>"9781607413189"</f>
        <v>9781607413189</v>
      </c>
      <c r="S2055" t="str">
        <f>"9781621004370"</f>
        <v>9781621004370</v>
      </c>
      <c r="T2055">
        <v>746925494</v>
      </c>
    </row>
    <row r="2056" spans="1:20" x14ac:dyDescent="0.25">
      <c r="A2056">
        <v>382318</v>
      </c>
      <c r="B2056" t="s">
        <v>10092</v>
      </c>
      <c r="D2056" t="s">
        <v>8262</v>
      </c>
      <c r="E2056" t="s">
        <v>8262</v>
      </c>
      <c r="F2056">
        <v>2008</v>
      </c>
      <c r="G2056" t="s">
        <v>5739</v>
      </c>
      <c r="H2056" t="s">
        <v>10093</v>
      </c>
      <c r="I2056" t="s">
        <v>10094</v>
      </c>
      <c r="J2056" t="s">
        <v>26</v>
      </c>
      <c r="K2056" t="s">
        <v>27</v>
      </c>
      <c r="L2056" t="b">
        <v>1</v>
      </c>
      <c r="M2056" t="s">
        <v>8265</v>
      </c>
      <c r="N2056" t="str">
        <f>"664.06"</f>
        <v>664.06</v>
      </c>
      <c r="P2056" t="b">
        <v>0</v>
      </c>
      <c r="R2056" t="str">
        <f>"9781934764008"</f>
        <v>9781934764008</v>
      </c>
      <c r="S2056" t="str">
        <f>"9781934764213"</f>
        <v>9781934764213</v>
      </c>
      <c r="T2056">
        <v>747426525</v>
      </c>
    </row>
    <row r="2057" spans="1:20" x14ac:dyDescent="0.25">
      <c r="A2057">
        <v>381197</v>
      </c>
      <c r="B2057" t="s">
        <v>10095</v>
      </c>
      <c r="C2057" t="s">
        <v>10096</v>
      </c>
      <c r="D2057" t="s">
        <v>6667</v>
      </c>
      <c r="E2057" t="s">
        <v>6668</v>
      </c>
      <c r="F2057">
        <v>2007</v>
      </c>
      <c r="G2057" t="s">
        <v>9159</v>
      </c>
      <c r="H2057" t="s">
        <v>10097</v>
      </c>
      <c r="I2057" t="s">
        <v>10098</v>
      </c>
      <c r="J2057" t="s">
        <v>26</v>
      </c>
      <c r="K2057" t="s">
        <v>27</v>
      </c>
      <c r="L2057" t="b">
        <v>1</v>
      </c>
      <c r="M2057" t="s">
        <v>10099</v>
      </c>
      <c r="N2057" t="str">
        <f>"362.1"</f>
        <v>362.1</v>
      </c>
      <c r="O2057" t="s">
        <v>10100</v>
      </c>
      <c r="P2057" t="b">
        <v>0</v>
      </c>
      <c r="Q2057" t="b">
        <v>0</v>
      </c>
      <c r="R2057" t="str">
        <f>"9781845400514"</f>
        <v>9781845400514</v>
      </c>
      <c r="S2057" t="str">
        <f>"9781845402761"</f>
        <v>9781845402761</v>
      </c>
      <c r="T2057">
        <v>747426509</v>
      </c>
    </row>
    <row r="2058" spans="1:20" x14ac:dyDescent="0.25">
      <c r="A2058">
        <v>381063</v>
      </c>
      <c r="B2058" t="s">
        <v>10101</v>
      </c>
      <c r="D2058" t="s">
        <v>5276</v>
      </c>
      <c r="E2058" t="s">
        <v>10102</v>
      </c>
      <c r="F2058">
        <v>2003</v>
      </c>
      <c r="G2058" t="s">
        <v>8631</v>
      </c>
      <c r="H2058" t="s">
        <v>10103</v>
      </c>
      <c r="I2058" t="s">
        <v>10104</v>
      </c>
      <c r="J2058" t="s">
        <v>26</v>
      </c>
      <c r="K2058" t="s">
        <v>27</v>
      </c>
      <c r="L2058" t="b">
        <v>1</v>
      </c>
      <c r="M2058" t="s">
        <v>10105</v>
      </c>
      <c r="N2058" t="str">
        <f>"338.4/791"</f>
        <v>338.4/791</v>
      </c>
      <c r="P2058" t="b">
        <v>0</v>
      </c>
      <c r="S2058" t="str">
        <f>"9781903138342"</f>
        <v>9781903138342</v>
      </c>
      <c r="T2058">
        <v>748551641</v>
      </c>
    </row>
    <row r="2059" spans="1:20" x14ac:dyDescent="0.25">
      <c r="A2059">
        <v>380968</v>
      </c>
      <c r="B2059" t="s">
        <v>10106</v>
      </c>
      <c r="D2059" t="s">
        <v>9839</v>
      </c>
      <c r="E2059" t="s">
        <v>9839</v>
      </c>
      <c r="F2059">
        <v>2009</v>
      </c>
      <c r="G2059" t="s">
        <v>8789</v>
      </c>
      <c r="H2059" t="s">
        <v>10107</v>
      </c>
      <c r="I2059" t="s">
        <v>10108</v>
      </c>
      <c r="J2059" t="s">
        <v>26</v>
      </c>
      <c r="K2059" t="s">
        <v>27</v>
      </c>
      <c r="L2059" t="b">
        <v>1</v>
      </c>
      <c r="M2059" t="s">
        <v>10109</v>
      </c>
      <c r="N2059" t="str">
        <f>"616.85/890084"</f>
        <v>616.85/890084</v>
      </c>
      <c r="P2059" t="b">
        <v>0</v>
      </c>
      <c r="R2059" t="str">
        <f>"9781935103165"</f>
        <v>9781935103165</v>
      </c>
      <c r="S2059" t="str">
        <f>"9781935103738"</f>
        <v>9781935103738</v>
      </c>
      <c r="T2059">
        <v>746315195</v>
      </c>
    </row>
    <row r="2060" spans="1:20" x14ac:dyDescent="0.25">
      <c r="A2060">
        <v>380967</v>
      </c>
      <c r="B2060" t="s">
        <v>10110</v>
      </c>
      <c r="D2060" t="s">
        <v>9839</v>
      </c>
      <c r="E2060" t="s">
        <v>9839</v>
      </c>
      <c r="F2060">
        <v>2009</v>
      </c>
      <c r="G2060" t="s">
        <v>10111</v>
      </c>
      <c r="H2060" t="s">
        <v>10112</v>
      </c>
      <c r="I2060" t="s">
        <v>10113</v>
      </c>
      <c r="J2060" t="s">
        <v>26</v>
      </c>
      <c r="K2060" t="s">
        <v>27</v>
      </c>
      <c r="L2060" t="b">
        <v>1</v>
      </c>
      <c r="M2060" t="s">
        <v>10114</v>
      </c>
      <c r="N2060" t="str">
        <f>"616.97"</f>
        <v>616.97</v>
      </c>
      <c r="P2060" t="b">
        <v>0</v>
      </c>
      <c r="R2060" t="str">
        <f>"9781935103202"</f>
        <v>9781935103202</v>
      </c>
      <c r="S2060" t="str">
        <f>"9781935103530"</f>
        <v>9781935103530</v>
      </c>
      <c r="T2060">
        <v>746315211</v>
      </c>
    </row>
    <row r="2061" spans="1:20" x14ac:dyDescent="0.25">
      <c r="A2061">
        <v>380966</v>
      </c>
      <c r="B2061" t="s">
        <v>10115</v>
      </c>
      <c r="D2061" t="s">
        <v>9839</v>
      </c>
      <c r="E2061" t="s">
        <v>9839</v>
      </c>
      <c r="F2061">
        <v>2008</v>
      </c>
      <c r="G2061" t="s">
        <v>7394</v>
      </c>
      <c r="H2061" t="s">
        <v>10116</v>
      </c>
      <c r="I2061" t="s">
        <v>10117</v>
      </c>
      <c r="J2061" t="s">
        <v>26</v>
      </c>
      <c r="K2061" t="s">
        <v>27</v>
      </c>
      <c r="L2061" t="b">
        <v>1</v>
      </c>
      <c r="M2061" t="s">
        <v>10118</v>
      </c>
      <c r="N2061" t="str">
        <f>"616.1/23"</f>
        <v>616.1/23</v>
      </c>
      <c r="P2061" t="b">
        <v>0</v>
      </c>
      <c r="R2061" t="str">
        <f>"9781931981866"</f>
        <v>9781931981866</v>
      </c>
      <c r="S2061" t="str">
        <f>"9781931981934"</f>
        <v>9781931981934</v>
      </c>
      <c r="T2061">
        <v>743806178</v>
      </c>
    </row>
    <row r="2062" spans="1:20" x14ac:dyDescent="0.25">
      <c r="A2062">
        <v>380965</v>
      </c>
      <c r="B2062" t="s">
        <v>10119</v>
      </c>
      <c r="D2062" t="s">
        <v>9839</v>
      </c>
      <c r="E2062" t="s">
        <v>9839</v>
      </c>
      <c r="F2062">
        <v>2009</v>
      </c>
      <c r="G2062" t="s">
        <v>8580</v>
      </c>
      <c r="H2062" t="s">
        <v>10120</v>
      </c>
      <c r="I2062" t="s">
        <v>10121</v>
      </c>
      <c r="J2062" t="s">
        <v>26</v>
      </c>
      <c r="K2062" t="s">
        <v>27</v>
      </c>
      <c r="L2062" t="b">
        <v>1</v>
      </c>
      <c r="M2062" t="s">
        <v>10122</v>
      </c>
      <c r="N2062" t="str">
        <f>"615.7/92"</f>
        <v>615.7/92</v>
      </c>
      <c r="P2062" t="b">
        <v>0</v>
      </c>
      <c r="R2062" t="str">
        <f>"9781935103349"</f>
        <v>9781935103349</v>
      </c>
      <c r="S2062" t="str">
        <f>"9781935103509"</f>
        <v>9781935103509</v>
      </c>
      <c r="T2062">
        <v>746306930</v>
      </c>
    </row>
    <row r="2063" spans="1:20" x14ac:dyDescent="0.25">
      <c r="A2063">
        <v>380530</v>
      </c>
      <c r="B2063" t="s">
        <v>10123</v>
      </c>
      <c r="D2063" t="s">
        <v>2269</v>
      </c>
      <c r="E2063" t="s">
        <v>2269</v>
      </c>
      <c r="F2063">
        <v>2009</v>
      </c>
      <c r="G2063" t="s">
        <v>7374</v>
      </c>
      <c r="H2063" t="s">
        <v>10124</v>
      </c>
      <c r="I2063" t="s">
        <v>10125</v>
      </c>
      <c r="J2063" t="s">
        <v>26</v>
      </c>
      <c r="K2063" t="s">
        <v>27</v>
      </c>
      <c r="L2063" t="b">
        <v>1</v>
      </c>
      <c r="M2063" t="s">
        <v>10126</v>
      </c>
      <c r="N2063" t="str">
        <f>"541/.28"</f>
        <v>541/.28</v>
      </c>
      <c r="O2063" t="s">
        <v>10127</v>
      </c>
      <c r="P2063" t="b">
        <v>0</v>
      </c>
      <c r="Q2063" t="b">
        <v>0</v>
      </c>
      <c r="R2063" t="str">
        <f>"9781616681586"</f>
        <v>9781616681586</v>
      </c>
      <c r="S2063" t="str">
        <f>"9781613248676"</f>
        <v>9781613248676</v>
      </c>
      <c r="T2063">
        <v>750174294</v>
      </c>
    </row>
    <row r="2064" spans="1:20" x14ac:dyDescent="0.25">
      <c r="A2064">
        <v>380393</v>
      </c>
      <c r="B2064" t="s">
        <v>10128</v>
      </c>
      <c r="D2064" t="s">
        <v>8262</v>
      </c>
      <c r="E2064" t="s">
        <v>8262</v>
      </c>
      <c r="F2064">
        <v>2004</v>
      </c>
      <c r="G2064" t="s">
        <v>10129</v>
      </c>
      <c r="H2064" t="s">
        <v>10130</v>
      </c>
      <c r="I2064" t="s">
        <v>10131</v>
      </c>
      <c r="J2064" t="s">
        <v>26</v>
      </c>
      <c r="K2064" t="s">
        <v>27</v>
      </c>
      <c r="L2064" t="b">
        <v>1</v>
      </c>
      <c r="M2064" t="s">
        <v>8265</v>
      </c>
      <c r="N2064" t="str">
        <f>"660/.2"</f>
        <v>660/.2</v>
      </c>
      <c r="P2064" t="b">
        <v>0</v>
      </c>
      <c r="R2064" t="str">
        <f>"9781890595791"</f>
        <v>9781890595791</v>
      </c>
      <c r="S2064" t="str">
        <f>"9781934764299"</f>
        <v>9781934764299</v>
      </c>
      <c r="T2064">
        <v>747426845</v>
      </c>
    </row>
    <row r="2065" spans="1:20" x14ac:dyDescent="0.25">
      <c r="A2065">
        <v>380392</v>
      </c>
      <c r="B2065" t="s">
        <v>10132</v>
      </c>
      <c r="D2065" t="s">
        <v>8262</v>
      </c>
      <c r="E2065" t="s">
        <v>8262</v>
      </c>
      <c r="F2065">
        <v>2007</v>
      </c>
      <c r="G2065" t="s">
        <v>10133</v>
      </c>
      <c r="H2065" t="s">
        <v>10134</v>
      </c>
      <c r="I2065" t="s">
        <v>10135</v>
      </c>
      <c r="J2065" t="s">
        <v>26</v>
      </c>
      <c r="K2065" t="s">
        <v>27</v>
      </c>
      <c r="L2065" t="b">
        <v>1</v>
      </c>
      <c r="M2065" t="s">
        <v>10136</v>
      </c>
      <c r="N2065" t="str">
        <f>"615.1/9"</f>
        <v>615.1/9</v>
      </c>
      <c r="P2065" t="b">
        <v>0</v>
      </c>
      <c r="R2065" t="str">
        <f>"9781890595937"</f>
        <v>9781890595937</v>
      </c>
      <c r="S2065" t="str">
        <f>"9781934764206"</f>
        <v>9781934764206</v>
      </c>
      <c r="T2065">
        <v>746851552</v>
      </c>
    </row>
    <row r="2066" spans="1:20" x14ac:dyDescent="0.25">
      <c r="A2066">
        <v>380378</v>
      </c>
      <c r="B2066" t="s">
        <v>10137</v>
      </c>
      <c r="D2066" t="s">
        <v>107</v>
      </c>
      <c r="E2066" t="s">
        <v>108</v>
      </c>
      <c r="F2066">
        <v>2006</v>
      </c>
      <c r="G2066" t="s">
        <v>4270</v>
      </c>
      <c r="H2066" t="s">
        <v>10138</v>
      </c>
      <c r="I2066" t="s">
        <v>4272</v>
      </c>
      <c r="J2066" t="s">
        <v>26</v>
      </c>
      <c r="K2066" t="s">
        <v>86</v>
      </c>
      <c r="L2066" t="b">
        <v>1</v>
      </c>
      <c r="M2066" t="s">
        <v>10139</v>
      </c>
      <c r="N2066" t="str">
        <f>"294.3"</f>
        <v>294.3</v>
      </c>
      <c r="O2066" t="s">
        <v>3718</v>
      </c>
      <c r="P2066" t="b">
        <v>0</v>
      </c>
      <c r="Q2066" t="b">
        <v>0</v>
      </c>
      <c r="R2066" t="str">
        <f>"9781903765180"</f>
        <v>9781903765180</v>
      </c>
      <c r="S2066" t="str">
        <f>"9781906716905"</f>
        <v>9781906716905</v>
      </c>
      <c r="T2066">
        <v>743803353</v>
      </c>
    </row>
    <row r="2067" spans="1:20" x14ac:dyDescent="0.25">
      <c r="A2067">
        <v>380364</v>
      </c>
      <c r="B2067" t="s">
        <v>10140</v>
      </c>
      <c r="C2067" t="s">
        <v>10141</v>
      </c>
      <c r="D2067" t="s">
        <v>107</v>
      </c>
      <c r="E2067" t="s">
        <v>108</v>
      </c>
      <c r="F2067">
        <v>2008</v>
      </c>
      <c r="G2067" t="s">
        <v>5204</v>
      </c>
      <c r="H2067" t="s">
        <v>10142</v>
      </c>
      <c r="I2067" t="s">
        <v>10143</v>
      </c>
      <c r="J2067" t="s">
        <v>26</v>
      </c>
      <c r="K2067" t="s">
        <v>86</v>
      </c>
      <c r="L2067" t="b">
        <v>1</v>
      </c>
      <c r="M2067" t="s">
        <v>10144</v>
      </c>
      <c r="N2067" t="str">
        <f>"942.01"</f>
        <v>942.01</v>
      </c>
      <c r="P2067" t="b">
        <v>0</v>
      </c>
      <c r="Q2067" t="b">
        <v>0</v>
      </c>
      <c r="R2067" t="str">
        <f>"9781906716066"</f>
        <v>9781906716066</v>
      </c>
      <c r="S2067" t="str">
        <f>"9781906716752"</f>
        <v>9781906716752</v>
      </c>
      <c r="T2067">
        <v>745091530</v>
      </c>
    </row>
    <row r="2068" spans="1:20" x14ac:dyDescent="0.25">
      <c r="A2068">
        <v>380349</v>
      </c>
      <c r="B2068" t="s">
        <v>10145</v>
      </c>
      <c r="D2068" t="s">
        <v>107</v>
      </c>
      <c r="E2068" t="s">
        <v>108</v>
      </c>
      <c r="F2068">
        <v>2010</v>
      </c>
      <c r="G2068" t="s">
        <v>1478</v>
      </c>
      <c r="H2068" t="s">
        <v>10146</v>
      </c>
      <c r="I2068" t="s">
        <v>10147</v>
      </c>
      <c r="J2068" t="s">
        <v>26</v>
      </c>
      <c r="K2068" t="s">
        <v>86</v>
      </c>
      <c r="L2068" t="b">
        <v>1</v>
      </c>
      <c r="M2068" t="s">
        <v>10148</v>
      </c>
      <c r="N2068" t="str">
        <f>"294.5"</f>
        <v>294.5</v>
      </c>
      <c r="O2068" t="s">
        <v>3718</v>
      </c>
      <c r="P2068" t="b">
        <v>0</v>
      </c>
      <c r="Q2068" t="b">
        <v>0</v>
      </c>
      <c r="R2068" t="str">
        <f>"9781903765364"</f>
        <v>9781903765364</v>
      </c>
      <c r="S2068" t="str">
        <f>"9781906716608"</f>
        <v>9781906716608</v>
      </c>
      <c r="T2068">
        <v>656451653</v>
      </c>
    </row>
    <row r="2069" spans="1:20" x14ac:dyDescent="0.25">
      <c r="A2069">
        <v>380345</v>
      </c>
      <c r="B2069" t="s">
        <v>10149</v>
      </c>
      <c r="C2069" t="s">
        <v>10150</v>
      </c>
      <c r="D2069" t="s">
        <v>107</v>
      </c>
      <c r="E2069" t="s">
        <v>108</v>
      </c>
      <c r="F2069">
        <v>2010</v>
      </c>
      <c r="G2069" t="s">
        <v>10151</v>
      </c>
      <c r="H2069" t="s">
        <v>10152</v>
      </c>
      <c r="I2069" t="s">
        <v>10153</v>
      </c>
      <c r="J2069" t="s">
        <v>26</v>
      </c>
      <c r="K2069" t="s">
        <v>86</v>
      </c>
      <c r="L2069" t="b">
        <v>1</v>
      </c>
      <c r="M2069" t="s">
        <v>10154</v>
      </c>
      <c r="N2069" t="str">
        <f>"783/.043"</f>
        <v>783/.043</v>
      </c>
      <c r="P2069" t="b">
        <v>0</v>
      </c>
      <c r="Q2069" t="b">
        <v>0</v>
      </c>
      <c r="R2069" t="str">
        <f>"9781903765951"</f>
        <v>9781903765951</v>
      </c>
      <c r="S2069" t="str">
        <f>"9781906716462"</f>
        <v>9781906716462</v>
      </c>
      <c r="T2069">
        <v>742350402</v>
      </c>
    </row>
    <row r="2070" spans="1:20" x14ac:dyDescent="0.25">
      <c r="A2070">
        <v>380344</v>
      </c>
      <c r="B2070" t="s">
        <v>10155</v>
      </c>
      <c r="D2070" t="s">
        <v>107</v>
      </c>
      <c r="E2070" t="s">
        <v>108</v>
      </c>
      <c r="F2070">
        <v>2010</v>
      </c>
      <c r="G2070" t="s">
        <v>2802</v>
      </c>
      <c r="H2070" t="s">
        <v>10156</v>
      </c>
      <c r="I2070" t="s">
        <v>10157</v>
      </c>
      <c r="J2070" t="s">
        <v>26</v>
      </c>
      <c r="K2070" t="s">
        <v>86</v>
      </c>
      <c r="L2070" t="b">
        <v>1</v>
      </c>
      <c r="M2070" t="s">
        <v>10158</v>
      </c>
      <c r="N2070" t="str">
        <f>"374.941"</f>
        <v>374.941</v>
      </c>
      <c r="P2070" t="b">
        <v>0</v>
      </c>
      <c r="Q2070" t="b">
        <v>0</v>
      </c>
      <c r="R2070" t="str">
        <f>"9781906716103"</f>
        <v>9781906716103</v>
      </c>
      <c r="S2070" t="str">
        <f>"9781906716455"</f>
        <v>9781906716455</v>
      </c>
      <c r="T2070">
        <v>743325009</v>
      </c>
    </row>
    <row r="2071" spans="1:20" x14ac:dyDescent="0.25">
      <c r="A2071">
        <v>380335</v>
      </c>
      <c r="B2071" t="s">
        <v>10159</v>
      </c>
      <c r="C2071" t="s">
        <v>10160</v>
      </c>
      <c r="D2071" t="s">
        <v>10161</v>
      </c>
      <c r="E2071" t="s">
        <v>10161</v>
      </c>
      <c r="F2071">
        <v>2011</v>
      </c>
      <c r="G2071" t="s">
        <v>10162</v>
      </c>
      <c r="H2071" t="s">
        <v>10163</v>
      </c>
      <c r="I2071" t="s">
        <v>10164</v>
      </c>
      <c r="J2071" t="s">
        <v>26</v>
      </c>
      <c r="K2071" t="s">
        <v>27</v>
      </c>
      <c r="L2071" t="b">
        <v>1</v>
      </c>
      <c r="M2071" t="s">
        <v>10165</v>
      </c>
      <c r="N2071" t="str">
        <f>"001.4"</f>
        <v>001.4</v>
      </c>
      <c r="P2071" t="b">
        <v>0</v>
      </c>
      <c r="T2071">
        <v>743802508</v>
      </c>
    </row>
    <row r="2072" spans="1:20" x14ac:dyDescent="0.25">
      <c r="A2072">
        <v>379955</v>
      </c>
      <c r="B2072" t="s">
        <v>10166</v>
      </c>
      <c r="C2072" t="s">
        <v>10167</v>
      </c>
      <c r="D2072" t="s">
        <v>2269</v>
      </c>
      <c r="E2072" t="s">
        <v>2269</v>
      </c>
      <c r="F2072">
        <v>2009</v>
      </c>
      <c r="G2072" t="s">
        <v>8669</v>
      </c>
      <c r="H2072" t="s">
        <v>10168</v>
      </c>
      <c r="I2072" t="s">
        <v>10169</v>
      </c>
      <c r="J2072" t="s">
        <v>26</v>
      </c>
      <c r="K2072" t="s">
        <v>27</v>
      </c>
      <c r="L2072" t="b">
        <v>1</v>
      </c>
      <c r="M2072" t="s">
        <v>10170</v>
      </c>
      <c r="N2072" t="str">
        <f>"616.99/419"</f>
        <v>616.99/419</v>
      </c>
      <c r="P2072" t="b">
        <v>0</v>
      </c>
      <c r="Q2072" t="b">
        <v>0</v>
      </c>
      <c r="R2072" t="str">
        <f>"9781600214974"</f>
        <v>9781600214974</v>
      </c>
      <c r="S2072" t="str">
        <f>"9781613245644"</f>
        <v>9781613245644</v>
      </c>
      <c r="T2072">
        <v>742350509</v>
      </c>
    </row>
    <row r="2073" spans="1:20" x14ac:dyDescent="0.25">
      <c r="A2073">
        <v>379898</v>
      </c>
      <c r="B2073" t="s">
        <v>10171</v>
      </c>
      <c r="D2073" t="s">
        <v>5060</v>
      </c>
      <c r="E2073" t="s">
        <v>5060</v>
      </c>
      <c r="F2073">
        <v>2011</v>
      </c>
      <c r="G2073" t="s">
        <v>9159</v>
      </c>
      <c r="H2073" t="s">
        <v>10172</v>
      </c>
      <c r="I2073" t="s">
        <v>10173</v>
      </c>
      <c r="J2073" t="s">
        <v>26</v>
      </c>
      <c r="K2073" t="s">
        <v>27</v>
      </c>
      <c r="L2073" t="b">
        <v>1</v>
      </c>
      <c r="M2073" t="s">
        <v>7211</v>
      </c>
      <c r="N2073" t="str">
        <f>"362.19/795"</f>
        <v>362.19/795</v>
      </c>
      <c r="O2073" t="s">
        <v>5064</v>
      </c>
      <c r="P2073" t="b">
        <v>0</v>
      </c>
      <c r="R2073" t="str">
        <f>"9781921507595"</f>
        <v>9781921507595</v>
      </c>
      <c r="S2073" t="str">
        <f>"9781921507601"</f>
        <v>9781921507601</v>
      </c>
      <c r="T2073">
        <v>746173036</v>
      </c>
    </row>
    <row r="2074" spans="1:20" x14ac:dyDescent="0.25">
      <c r="A2074">
        <v>378824</v>
      </c>
      <c r="B2074" t="s">
        <v>10174</v>
      </c>
      <c r="D2074" t="s">
        <v>5276</v>
      </c>
      <c r="E2074" t="s">
        <v>10102</v>
      </c>
      <c r="F2074">
        <v>2010</v>
      </c>
      <c r="G2074" t="s">
        <v>10175</v>
      </c>
      <c r="H2074" t="s">
        <v>10176</v>
      </c>
      <c r="I2074" t="s">
        <v>10177</v>
      </c>
      <c r="J2074" t="s">
        <v>26</v>
      </c>
      <c r="K2074" t="s">
        <v>27</v>
      </c>
      <c r="L2074" t="b">
        <v>1</v>
      </c>
      <c r="M2074" t="s">
        <v>10178</v>
      </c>
      <c r="N2074" t="str">
        <f>"283.092;B"</f>
        <v>283.092;B</v>
      </c>
      <c r="P2074" t="b">
        <v>0</v>
      </c>
      <c r="S2074" t="str">
        <f>"9781905553730"</f>
        <v>9781905553730</v>
      </c>
      <c r="T2074">
        <v>772540837</v>
      </c>
    </row>
    <row r="2075" spans="1:20" x14ac:dyDescent="0.25">
      <c r="A2075">
        <v>378822</v>
      </c>
      <c r="B2075" t="s">
        <v>10179</v>
      </c>
      <c r="D2075" t="s">
        <v>5276</v>
      </c>
      <c r="E2075" t="s">
        <v>6817</v>
      </c>
      <c r="F2075">
        <v>2010</v>
      </c>
      <c r="G2075" t="s">
        <v>2203</v>
      </c>
      <c r="H2075" t="s">
        <v>10180</v>
      </c>
      <c r="I2075" t="s">
        <v>10181</v>
      </c>
      <c r="J2075" t="s">
        <v>26</v>
      </c>
      <c r="K2075" t="s">
        <v>86</v>
      </c>
      <c r="L2075" t="b">
        <v>1</v>
      </c>
      <c r="M2075" t="s">
        <v>10182</v>
      </c>
      <c r="N2075" t="str">
        <f>"823/.92"</f>
        <v>823/.92</v>
      </c>
      <c r="P2075" t="b">
        <v>1</v>
      </c>
      <c r="S2075" t="str">
        <f>"9781905553655"</f>
        <v>9781905553655</v>
      </c>
      <c r="T2075">
        <v>748266757</v>
      </c>
    </row>
    <row r="2076" spans="1:20" x14ac:dyDescent="0.25">
      <c r="A2076">
        <v>378809</v>
      </c>
      <c r="B2076" t="s">
        <v>10183</v>
      </c>
      <c r="C2076" t="s">
        <v>10184</v>
      </c>
      <c r="D2076" t="s">
        <v>5276</v>
      </c>
      <c r="E2076" t="s">
        <v>10102</v>
      </c>
      <c r="F2076">
        <v>1997</v>
      </c>
      <c r="G2076" t="s">
        <v>10185</v>
      </c>
      <c r="H2076" t="s">
        <v>10186</v>
      </c>
      <c r="I2076" t="s">
        <v>10187</v>
      </c>
      <c r="J2076" t="s">
        <v>26</v>
      </c>
      <c r="K2076" t="s">
        <v>27</v>
      </c>
      <c r="L2076" t="b">
        <v>1</v>
      </c>
      <c r="M2076" t="s">
        <v>10188</v>
      </c>
      <c r="N2076" t="str">
        <f>"621.381"</f>
        <v>621.381</v>
      </c>
      <c r="P2076" t="b">
        <v>0</v>
      </c>
      <c r="S2076" t="str">
        <f>"9781907759550"</f>
        <v>9781907759550</v>
      </c>
      <c r="T2076">
        <v>748344564</v>
      </c>
    </row>
    <row r="2077" spans="1:20" x14ac:dyDescent="0.25">
      <c r="A2077">
        <v>378802</v>
      </c>
      <c r="B2077" t="s">
        <v>10189</v>
      </c>
      <c r="D2077" t="s">
        <v>5276</v>
      </c>
      <c r="E2077" t="s">
        <v>10102</v>
      </c>
      <c r="F2077">
        <v>2010</v>
      </c>
      <c r="G2077" t="s">
        <v>328</v>
      </c>
      <c r="H2077" t="s">
        <v>10190</v>
      </c>
      <c r="I2077" t="s">
        <v>10191</v>
      </c>
      <c r="J2077" t="s">
        <v>26</v>
      </c>
      <c r="K2077" t="s">
        <v>27</v>
      </c>
      <c r="L2077" t="b">
        <v>1</v>
      </c>
      <c r="M2077" t="s">
        <v>10192</v>
      </c>
      <c r="N2077" t="str">
        <f>"624.092"</f>
        <v>624.092</v>
      </c>
      <c r="P2077" t="b">
        <v>0</v>
      </c>
      <c r="S2077" t="str">
        <f>"9780955606403"</f>
        <v>9780955606403</v>
      </c>
      <c r="T2077">
        <v>748576253</v>
      </c>
    </row>
    <row r="2078" spans="1:20" x14ac:dyDescent="0.25">
      <c r="A2078">
        <v>378793</v>
      </c>
      <c r="B2078" t="s">
        <v>10193</v>
      </c>
      <c r="C2078" t="s">
        <v>10194</v>
      </c>
      <c r="D2078" t="s">
        <v>5276</v>
      </c>
      <c r="E2078" t="s">
        <v>10102</v>
      </c>
      <c r="F2078">
        <v>2007</v>
      </c>
      <c r="G2078" t="s">
        <v>10195</v>
      </c>
      <c r="H2078" t="s">
        <v>10196</v>
      </c>
      <c r="I2078" t="s">
        <v>10197</v>
      </c>
      <c r="J2078" t="s">
        <v>26</v>
      </c>
      <c r="K2078" t="s">
        <v>27</v>
      </c>
      <c r="L2078" t="b">
        <v>1</v>
      </c>
      <c r="M2078" t="s">
        <v>10198</v>
      </c>
      <c r="N2078" t="str">
        <f>"181/.4"</f>
        <v>181/.4</v>
      </c>
      <c r="P2078" t="b">
        <v>0</v>
      </c>
      <c r="S2078" t="str">
        <f>"9781934989135"</f>
        <v>9781934989135</v>
      </c>
      <c r="T2078">
        <v>748370356</v>
      </c>
    </row>
    <row r="2079" spans="1:20" x14ac:dyDescent="0.25">
      <c r="A2079">
        <v>378792</v>
      </c>
      <c r="B2079" t="s">
        <v>10199</v>
      </c>
      <c r="D2079" t="s">
        <v>5276</v>
      </c>
      <c r="E2079" t="s">
        <v>10200</v>
      </c>
      <c r="F2079">
        <v>2009</v>
      </c>
      <c r="G2079" t="s">
        <v>10201</v>
      </c>
      <c r="H2079" t="s">
        <v>10202</v>
      </c>
      <c r="I2079" t="s">
        <v>10203</v>
      </c>
      <c r="J2079" t="s">
        <v>26</v>
      </c>
      <c r="K2079" t="s">
        <v>27</v>
      </c>
      <c r="L2079" t="b">
        <v>1</v>
      </c>
      <c r="M2079" t="s">
        <v>10204</v>
      </c>
      <c r="N2079" t="str">
        <f>"362.1068"</f>
        <v>362.1068</v>
      </c>
      <c r="O2079" t="s">
        <v>10205</v>
      </c>
      <c r="P2079" t="b">
        <v>0</v>
      </c>
      <c r="R2079" t="str">
        <f>"9781906839017"</f>
        <v>9781906839017</v>
      </c>
      <c r="S2079" t="str">
        <f>"9781906839512"</f>
        <v>9781906839512</v>
      </c>
      <c r="T2079">
        <v>748365734</v>
      </c>
    </row>
    <row r="2080" spans="1:20" x14ac:dyDescent="0.25">
      <c r="A2080">
        <v>378791</v>
      </c>
      <c r="B2080" t="s">
        <v>10206</v>
      </c>
      <c r="C2080" t="s">
        <v>10207</v>
      </c>
      <c r="D2080" t="s">
        <v>5276</v>
      </c>
      <c r="E2080" t="s">
        <v>10102</v>
      </c>
      <c r="F2080">
        <v>1956</v>
      </c>
      <c r="G2080" t="s">
        <v>2281</v>
      </c>
      <c r="H2080" t="s">
        <v>10208</v>
      </c>
      <c r="I2080" t="s">
        <v>10209</v>
      </c>
      <c r="J2080" t="s">
        <v>26</v>
      </c>
      <c r="K2080" t="s">
        <v>27</v>
      </c>
      <c r="L2080" t="b">
        <v>1</v>
      </c>
      <c r="M2080" t="s">
        <v>10210</v>
      </c>
      <c r="N2080" t="str">
        <f>"170"</f>
        <v>170</v>
      </c>
      <c r="O2080" t="s">
        <v>10206</v>
      </c>
      <c r="P2080" t="b">
        <v>0</v>
      </c>
      <c r="S2080" t="str">
        <f>"9781934989166"</f>
        <v>9781934989166</v>
      </c>
      <c r="T2080">
        <v>748366583</v>
      </c>
    </row>
    <row r="2081" spans="1:20" x14ac:dyDescent="0.25">
      <c r="A2081">
        <v>378790</v>
      </c>
      <c r="B2081" t="s">
        <v>10211</v>
      </c>
      <c r="D2081" t="s">
        <v>5276</v>
      </c>
      <c r="E2081" t="s">
        <v>10212</v>
      </c>
      <c r="F2081">
        <v>1956</v>
      </c>
      <c r="G2081" t="s">
        <v>23</v>
      </c>
      <c r="H2081" t="s">
        <v>10213</v>
      </c>
      <c r="I2081" t="s">
        <v>10209</v>
      </c>
      <c r="J2081" t="s">
        <v>26</v>
      </c>
      <c r="K2081" t="s">
        <v>86</v>
      </c>
      <c r="L2081" t="b">
        <v>1</v>
      </c>
      <c r="M2081" t="s">
        <v>10210</v>
      </c>
      <c r="N2081" t="str">
        <f>"170"</f>
        <v>170</v>
      </c>
      <c r="O2081" t="s">
        <v>10206</v>
      </c>
      <c r="P2081" t="b">
        <v>0</v>
      </c>
      <c r="S2081" t="str">
        <f>"9781934989111"</f>
        <v>9781934989111</v>
      </c>
      <c r="T2081">
        <v>748365529</v>
      </c>
    </row>
    <row r="2082" spans="1:20" x14ac:dyDescent="0.25">
      <c r="A2082">
        <v>378789</v>
      </c>
      <c r="B2082" t="s">
        <v>10214</v>
      </c>
      <c r="D2082" t="s">
        <v>5276</v>
      </c>
      <c r="E2082" t="s">
        <v>10212</v>
      </c>
      <c r="F2082">
        <v>1956</v>
      </c>
      <c r="G2082" t="s">
        <v>23</v>
      </c>
      <c r="H2082" t="s">
        <v>10215</v>
      </c>
      <c r="I2082" t="s">
        <v>10209</v>
      </c>
      <c r="J2082" t="s">
        <v>26</v>
      </c>
      <c r="K2082" t="s">
        <v>86</v>
      </c>
      <c r="L2082" t="b">
        <v>1</v>
      </c>
      <c r="M2082" t="s">
        <v>10210</v>
      </c>
      <c r="N2082" t="str">
        <f>"170"</f>
        <v>170</v>
      </c>
      <c r="O2082" t="s">
        <v>10206</v>
      </c>
      <c r="P2082" t="b">
        <v>0</v>
      </c>
      <c r="S2082" t="str">
        <f>"9781934989128"</f>
        <v>9781934989128</v>
      </c>
      <c r="T2082">
        <v>748344539</v>
      </c>
    </row>
    <row r="2083" spans="1:20" x14ac:dyDescent="0.25">
      <c r="A2083">
        <v>378766</v>
      </c>
      <c r="B2083" t="s">
        <v>10216</v>
      </c>
      <c r="D2083" t="s">
        <v>5276</v>
      </c>
      <c r="E2083" t="s">
        <v>10102</v>
      </c>
      <c r="F2083">
        <v>2005</v>
      </c>
      <c r="G2083" t="s">
        <v>6422</v>
      </c>
      <c r="H2083" t="s">
        <v>10217</v>
      </c>
      <c r="I2083" t="s">
        <v>10218</v>
      </c>
      <c r="J2083" t="s">
        <v>26</v>
      </c>
      <c r="K2083" t="s">
        <v>27</v>
      </c>
      <c r="L2083" t="b">
        <v>1</v>
      </c>
      <c r="M2083" t="s">
        <v>10219</v>
      </c>
      <c r="N2083" t="str">
        <f>"338.092"</f>
        <v>338.092</v>
      </c>
      <c r="P2083" t="b">
        <v>0</v>
      </c>
      <c r="S2083" t="str">
        <f>"9781904986041"</f>
        <v>9781904986041</v>
      </c>
      <c r="T2083">
        <v>748366774</v>
      </c>
    </row>
    <row r="2084" spans="1:20" x14ac:dyDescent="0.25">
      <c r="A2084">
        <v>378759</v>
      </c>
      <c r="B2084" t="s">
        <v>10220</v>
      </c>
      <c r="C2084" t="s">
        <v>10221</v>
      </c>
      <c r="D2084" t="s">
        <v>5276</v>
      </c>
      <c r="E2084" t="s">
        <v>10102</v>
      </c>
      <c r="F2084">
        <v>2007</v>
      </c>
      <c r="G2084" t="s">
        <v>2281</v>
      </c>
      <c r="H2084" t="s">
        <v>10222</v>
      </c>
      <c r="I2084" t="s">
        <v>10223</v>
      </c>
      <c r="J2084" t="s">
        <v>26</v>
      </c>
      <c r="K2084" t="s">
        <v>27</v>
      </c>
      <c r="L2084" t="b">
        <v>1</v>
      </c>
      <c r="M2084" t="s">
        <v>10210</v>
      </c>
      <c r="N2084" t="str">
        <f>"170/.835"</f>
        <v>170/.835</v>
      </c>
      <c r="O2084" t="s">
        <v>10224</v>
      </c>
      <c r="P2084" t="b">
        <v>0</v>
      </c>
      <c r="S2084" t="str">
        <f>"9781934989159"</f>
        <v>9781934989159</v>
      </c>
      <c r="T2084">
        <v>748363358</v>
      </c>
    </row>
    <row r="2085" spans="1:20" x14ac:dyDescent="0.25">
      <c r="A2085">
        <v>378756</v>
      </c>
      <c r="B2085" t="s">
        <v>10225</v>
      </c>
      <c r="D2085" t="s">
        <v>5276</v>
      </c>
      <c r="E2085" t="s">
        <v>10102</v>
      </c>
      <c r="F2085">
        <v>2008</v>
      </c>
      <c r="G2085" t="s">
        <v>5204</v>
      </c>
      <c r="H2085" t="s">
        <v>10226</v>
      </c>
      <c r="I2085" t="s">
        <v>10227</v>
      </c>
      <c r="J2085" t="s">
        <v>26</v>
      </c>
      <c r="K2085" t="s">
        <v>27</v>
      </c>
      <c r="L2085" t="b">
        <v>1</v>
      </c>
      <c r="M2085" t="s">
        <v>10228</v>
      </c>
      <c r="N2085" t="str">
        <f>"942.817084"</f>
        <v>942.817084</v>
      </c>
      <c r="P2085" t="b">
        <v>0</v>
      </c>
      <c r="S2085" t="str">
        <f>"9780955606496"</f>
        <v>9780955606496</v>
      </c>
      <c r="T2085">
        <v>748284326</v>
      </c>
    </row>
    <row r="2086" spans="1:20" x14ac:dyDescent="0.25">
      <c r="A2086">
        <v>378755</v>
      </c>
      <c r="B2086" t="s">
        <v>10229</v>
      </c>
      <c r="C2086" t="s">
        <v>10230</v>
      </c>
      <c r="D2086" t="s">
        <v>5276</v>
      </c>
      <c r="E2086" t="s">
        <v>10102</v>
      </c>
      <c r="F2086">
        <v>2008</v>
      </c>
      <c r="G2086" t="s">
        <v>2209</v>
      </c>
      <c r="H2086" t="s">
        <v>10231</v>
      </c>
      <c r="I2086" t="s">
        <v>10232</v>
      </c>
      <c r="J2086" t="s">
        <v>26</v>
      </c>
      <c r="K2086" t="s">
        <v>27</v>
      </c>
      <c r="L2086" t="b">
        <v>1</v>
      </c>
      <c r="M2086" t="s">
        <v>10233</v>
      </c>
      <c r="N2086" t="str">
        <f>"303.48/33"</f>
        <v>303.48/33</v>
      </c>
      <c r="P2086" t="b">
        <v>0</v>
      </c>
      <c r="S2086" t="str">
        <f>"9781906986810"</f>
        <v>9781906986810</v>
      </c>
      <c r="T2086">
        <v>748283372</v>
      </c>
    </row>
    <row r="2087" spans="1:20" x14ac:dyDescent="0.25">
      <c r="A2087">
        <v>378598</v>
      </c>
      <c r="B2087" t="s">
        <v>10234</v>
      </c>
      <c r="D2087" t="s">
        <v>203</v>
      </c>
      <c r="E2087" t="s">
        <v>1109</v>
      </c>
      <c r="F2087">
        <v>2011</v>
      </c>
      <c r="G2087" t="s">
        <v>1110</v>
      </c>
      <c r="H2087" t="s">
        <v>10235</v>
      </c>
      <c r="I2087" t="s">
        <v>10236</v>
      </c>
      <c r="J2087" t="s">
        <v>26</v>
      </c>
      <c r="K2087" t="s">
        <v>86</v>
      </c>
      <c r="L2087" t="b">
        <v>1</v>
      </c>
      <c r="M2087" t="s">
        <v>10237</v>
      </c>
      <c r="N2087" t="str">
        <f>"616.89/0071/55"</f>
        <v>616.89/0071/55</v>
      </c>
      <c r="O2087" t="s">
        <v>10238</v>
      </c>
      <c r="P2087" t="b">
        <v>0</v>
      </c>
      <c r="R2087" t="str">
        <f>"9781908020062"</f>
        <v>9781908020062</v>
      </c>
      <c r="S2087" t="str">
        <f>"9781908020079"</f>
        <v>9781908020079</v>
      </c>
      <c r="T2087">
        <v>746311203</v>
      </c>
    </row>
    <row r="2088" spans="1:20" x14ac:dyDescent="0.25">
      <c r="A2088">
        <v>378597</v>
      </c>
      <c r="B2088" t="s">
        <v>10239</v>
      </c>
      <c r="D2088" t="s">
        <v>203</v>
      </c>
      <c r="E2088" t="s">
        <v>1109</v>
      </c>
      <c r="F2088">
        <v>2011</v>
      </c>
      <c r="G2088" t="s">
        <v>1110</v>
      </c>
      <c r="H2088" t="s">
        <v>10240</v>
      </c>
      <c r="I2088" t="s">
        <v>10241</v>
      </c>
      <c r="J2088" t="s">
        <v>26</v>
      </c>
      <c r="K2088" t="s">
        <v>27</v>
      </c>
      <c r="L2088" t="b">
        <v>1</v>
      </c>
      <c r="M2088" t="s">
        <v>10242</v>
      </c>
      <c r="N2088" t="str">
        <f>"362.2"</f>
        <v>362.2</v>
      </c>
      <c r="P2088" t="b">
        <v>0</v>
      </c>
      <c r="R2088" t="str">
        <f>"9781908020000"</f>
        <v>9781908020000</v>
      </c>
      <c r="S2088" t="str">
        <f>"9781908020338"</f>
        <v>9781908020338</v>
      </c>
      <c r="T2088">
        <v>746315011</v>
      </c>
    </row>
    <row r="2089" spans="1:20" x14ac:dyDescent="0.25">
      <c r="A2089">
        <v>378596</v>
      </c>
      <c r="B2089" t="s">
        <v>10243</v>
      </c>
      <c r="C2089" t="s">
        <v>10244</v>
      </c>
      <c r="D2089" t="s">
        <v>203</v>
      </c>
      <c r="E2089" t="s">
        <v>1109</v>
      </c>
      <c r="F2089">
        <v>2011</v>
      </c>
      <c r="G2089" t="s">
        <v>1110</v>
      </c>
      <c r="H2089" t="s">
        <v>10245</v>
      </c>
      <c r="I2089" t="s">
        <v>10246</v>
      </c>
      <c r="J2089" t="s">
        <v>26</v>
      </c>
      <c r="K2089" t="s">
        <v>86</v>
      </c>
      <c r="L2089" t="b">
        <v>1</v>
      </c>
      <c r="M2089" t="s">
        <v>10247</v>
      </c>
      <c r="N2089" t="str">
        <f>"610.69/6"</f>
        <v>610.69/6</v>
      </c>
      <c r="P2089" t="b">
        <v>0</v>
      </c>
      <c r="R2089" t="str">
        <f>"9781908020048"</f>
        <v>9781908020048</v>
      </c>
      <c r="S2089" t="str">
        <f>"9781908020055"</f>
        <v>9781908020055</v>
      </c>
      <c r="T2089">
        <v>746311234</v>
      </c>
    </row>
    <row r="2090" spans="1:20" x14ac:dyDescent="0.25">
      <c r="A2090">
        <v>376584</v>
      </c>
      <c r="B2090" t="s">
        <v>10248</v>
      </c>
      <c r="D2090" t="s">
        <v>10249</v>
      </c>
      <c r="E2090" t="s">
        <v>10249</v>
      </c>
      <c r="F2090">
        <v>2011</v>
      </c>
      <c r="G2090" t="s">
        <v>4670</v>
      </c>
      <c r="H2090" t="s">
        <v>10250</v>
      </c>
      <c r="J2090" t="s">
        <v>26</v>
      </c>
      <c r="K2090" t="s">
        <v>86</v>
      </c>
      <c r="L2090" t="b">
        <v>1</v>
      </c>
      <c r="M2090" t="s">
        <v>10251</v>
      </c>
      <c r="N2090" t="str">
        <f>"530.092"</f>
        <v>530.092</v>
      </c>
      <c r="P2090" t="b">
        <v>0</v>
      </c>
      <c r="R2090" t="str">
        <f>"9780691138176"</f>
        <v>9780691138176</v>
      </c>
      <c r="S2090" t="str">
        <f>"9781400835966"</f>
        <v>9781400835966</v>
      </c>
      <c r="T2090">
        <v>744354230</v>
      </c>
    </row>
    <row r="2091" spans="1:20" x14ac:dyDescent="0.25">
      <c r="A2091">
        <v>375848</v>
      </c>
      <c r="B2091" t="s">
        <v>10252</v>
      </c>
      <c r="C2091" t="s">
        <v>10253</v>
      </c>
      <c r="D2091" t="s">
        <v>2269</v>
      </c>
      <c r="E2091" t="s">
        <v>2269</v>
      </c>
      <c r="F2091">
        <v>2009</v>
      </c>
      <c r="G2091" t="s">
        <v>9300</v>
      </c>
      <c r="H2091" t="s">
        <v>10254</v>
      </c>
      <c r="I2091" t="s">
        <v>10255</v>
      </c>
      <c r="J2091" t="s">
        <v>26</v>
      </c>
      <c r="K2091" t="s">
        <v>27</v>
      </c>
      <c r="L2091" t="b">
        <v>1</v>
      </c>
      <c r="M2091" t="s">
        <v>10256</v>
      </c>
      <c r="N2091" t="str">
        <f>"362.196/98"</f>
        <v>362.196/98</v>
      </c>
      <c r="P2091" t="b">
        <v>0</v>
      </c>
      <c r="Q2091" t="b">
        <v>0</v>
      </c>
      <c r="R2091" t="str">
        <f>"9781607410614"</f>
        <v>9781607410614</v>
      </c>
      <c r="S2091" t="str">
        <f>"9781613245033"</f>
        <v>9781613245033</v>
      </c>
      <c r="T2091">
        <v>740448218</v>
      </c>
    </row>
    <row r="2092" spans="1:20" x14ac:dyDescent="0.25">
      <c r="A2092">
        <v>375843</v>
      </c>
      <c r="B2092" t="s">
        <v>10257</v>
      </c>
      <c r="C2092" t="s">
        <v>10258</v>
      </c>
      <c r="D2092" t="s">
        <v>2269</v>
      </c>
      <c r="E2092" t="s">
        <v>2269</v>
      </c>
      <c r="F2092">
        <v>2009</v>
      </c>
      <c r="G2092" t="s">
        <v>9543</v>
      </c>
      <c r="H2092" t="s">
        <v>10259</v>
      </c>
      <c r="I2092" t="s">
        <v>10260</v>
      </c>
      <c r="J2092" t="s">
        <v>26</v>
      </c>
      <c r="K2092" t="s">
        <v>27</v>
      </c>
      <c r="L2092" t="b">
        <v>1</v>
      </c>
      <c r="M2092" t="s">
        <v>10261</v>
      </c>
      <c r="N2092" t="str">
        <f>"620/.44"</f>
        <v>620/.44</v>
      </c>
      <c r="O2092" t="s">
        <v>10262</v>
      </c>
      <c r="P2092" t="b">
        <v>0</v>
      </c>
      <c r="Q2092" t="b">
        <v>0</v>
      </c>
      <c r="R2092" t="str">
        <f>"9781607417804"</f>
        <v>9781607417804</v>
      </c>
      <c r="S2092" t="str">
        <f>"9781613245378"</f>
        <v>9781613245378</v>
      </c>
      <c r="T2092">
        <v>744655128</v>
      </c>
    </row>
    <row r="2093" spans="1:20" x14ac:dyDescent="0.25">
      <c r="A2093">
        <v>374575</v>
      </c>
      <c r="B2093" t="s">
        <v>10263</v>
      </c>
      <c r="D2093" t="s">
        <v>2269</v>
      </c>
      <c r="E2093" t="s">
        <v>2269</v>
      </c>
      <c r="F2093">
        <v>2009</v>
      </c>
      <c r="G2093" t="s">
        <v>8503</v>
      </c>
      <c r="H2093" t="s">
        <v>10264</v>
      </c>
      <c r="I2093" t="s">
        <v>10265</v>
      </c>
      <c r="J2093" t="s">
        <v>26</v>
      </c>
      <c r="K2093" t="s">
        <v>27</v>
      </c>
      <c r="L2093" t="b">
        <v>1</v>
      </c>
      <c r="M2093" t="s">
        <v>10266</v>
      </c>
      <c r="N2093" t="str">
        <f>"616.99/4061"</f>
        <v>616.99/4061</v>
      </c>
      <c r="O2093" t="s">
        <v>10267</v>
      </c>
      <c r="P2093" t="b">
        <v>0</v>
      </c>
      <c r="Q2093" t="b">
        <v>0</v>
      </c>
      <c r="R2093" t="str">
        <f>"9781607412557"</f>
        <v>9781607412557</v>
      </c>
      <c r="S2093" t="str">
        <f>"9781613244746"</f>
        <v>9781613244746</v>
      </c>
      <c r="T2093">
        <v>738478182</v>
      </c>
    </row>
    <row r="2094" spans="1:20" x14ac:dyDescent="0.25">
      <c r="A2094">
        <v>373182</v>
      </c>
      <c r="B2094" t="s">
        <v>10268</v>
      </c>
      <c r="C2094" t="s">
        <v>10269</v>
      </c>
      <c r="D2094" t="s">
        <v>240</v>
      </c>
      <c r="E2094" t="s">
        <v>10270</v>
      </c>
      <c r="F2094">
        <v>2008</v>
      </c>
      <c r="G2094" t="s">
        <v>242</v>
      </c>
      <c r="H2094" t="s">
        <v>10271</v>
      </c>
      <c r="I2094" t="s">
        <v>10272</v>
      </c>
      <c r="J2094" t="s">
        <v>26</v>
      </c>
      <c r="K2094" t="s">
        <v>27</v>
      </c>
      <c r="L2094" t="b">
        <v>1</v>
      </c>
      <c r="M2094" t="s">
        <v>10273</v>
      </c>
      <c r="N2094" t="str">
        <f>"940.4/36092"</f>
        <v>940.4/36092</v>
      </c>
      <c r="P2094" t="b">
        <v>0</v>
      </c>
      <c r="Q2094" t="b">
        <v>0</v>
      </c>
      <c r="R2094" t="str">
        <f>"9780874216950"</f>
        <v>9780874216950</v>
      </c>
      <c r="S2094" t="str">
        <f>"9780874216967"</f>
        <v>9780874216967</v>
      </c>
      <c r="T2094">
        <v>739702423</v>
      </c>
    </row>
    <row r="2095" spans="1:20" x14ac:dyDescent="0.25">
      <c r="A2095">
        <v>373016</v>
      </c>
      <c r="B2095" t="s">
        <v>10274</v>
      </c>
      <c r="C2095" t="s">
        <v>10275</v>
      </c>
      <c r="D2095" t="s">
        <v>2269</v>
      </c>
      <c r="E2095" t="s">
        <v>2269</v>
      </c>
      <c r="F2095">
        <v>2009</v>
      </c>
      <c r="G2095" t="s">
        <v>8701</v>
      </c>
      <c r="H2095" t="s">
        <v>10276</v>
      </c>
      <c r="I2095" t="s">
        <v>10277</v>
      </c>
      <c r="J2095" t="s">
        <v>26</v>
      </c>
      <c r="K2095" t="s">
        <v>27</v>
      </c>
      <c r="L2095" t="b">
        <v>1</v>
      </c>
      <c r="M2095" t="s">
        <v>10278</v>
      </c>
      <c r="N2095" t="str">
        <f>"572/.65"</f>
        <v>572/.65</v>
      </c>
      <c r="O2095" t="s">
        <v>10279</v>
      </c>
      <c r="P2095" t="b">
        <v>0</v>
      </c>
      <c r="Q2095" t="b">
        <v>0</v>
      </c>
      <c r="R2095" t="str">
        <f>"9781607413783"</f>
        <v>9781607413783</v>
      </c>
      <c r="S2095" t="str">
        <f>"9781613243299"</f>
        <v>9781613243299</v>
      </c>
      <c r="T2095">
        <v>739716332</v>
      </c>
    </row>
    <row r="2096" spans="1:20" x14ac:dyDescent="0.25">
      <c r="A2096">
        <v>373015</v>
      </c>
      <c r="B2096" t="s">
        <v>10274</v>
      </c>
      <c r="C2096" t="s">
        <v>10275</v>
      </c>
      <c r="D2096" t="s">
        <v>2269</v>
      </c>
      <c r="E2096" t="s">
        <v>2269</v>
      </c>
      <c r="F2096">
        <v>2009</v>
      </c>
      <c r="G2096" t="s">
        <v>8701</v>
      </c>
      <c r="H2096" t="s">
        <v>10276</v>
      </c>
      <c r="I2096" t="s">
        <v>10277</v>
      </c>
      <c r="J2096" t="s">
        <v>26</v>
      </c>
      <c r="K2096" t="s">
        <v>27</v>
      </c>
      <c r="L2096" t="b">
        <v>1</v>
      </c>
      <c r="M2096" t="s">
        <v>10278</v>
      </c>
      <c r="N2096" t="str">
        <f>"572/.65"</f>
        <v>572/.65</v>
      </c>
      <c r="O2096" t="s">
        <v>10279</v>
      </c>
      <c r="P2096" t="b">
        <v>0</v>
      </c>
      <c r="Q2096" t="b">
        <v>0</v>
      </c>
      <c r="R2096" t="str">
        <f>"9781607413776"</f>
        <v>9781607413776</v>
      </c>
      <c r="S2096" t="str">
        <f>"9781613243282"</f>
        <v>9781613243282</v>
      </c>
      <c r="T2096">
        <v>739712942</v>
      </c>
    </row>
    <row r="2097" spans="1:20" x14ac:dyDescent="0.25">
      <c r="A2097">
        <v>373014</v>
      </c>
      <c r="B2097" t="s">
        <v>10274</v>
      </c>
      <c r="C2097" t="s">
        <v>10275</v>
      </c>
      <c r="D2097" t="s">
        <v>2269</v>
      </c>
      <c r="E2097" t="s">
        <v>2269</v>
      </c>
      <c r="F2097">
        <v>2009</v>
      </c>
      <c r="G2097" t="s">
        <v>8701</v>
      </c>
      <c r="H2097" t="s">
        <v>10276</v>
      </c>
      <c r="I2097" t="s">
        <v>10277</v>
      </c>
      <c r="J2097" t="s">
        <v>26</v>
      </c>
      <c r="K2097" t="s">
        <v>27</v>
      </c>
      <c r="L2097" t="b">
        <v>1</v>
      </c>
      <c r="M2097" t="s">
        <v>10278</v>
      </c>
      <c r="N2097" t="str">
        <f>"572/.65"</f>
        <v>572/.65</v>
      </c>
      <c r="O2097" t="s">
        <v>10279</v>
      </c>
      <c r="P2097" t="b">
        <v>0</v>
      </c>
      <c r="Q2097" t="b">
        <v>0</v>
      </c>
      <c r="R2097" t="str">
        <f>"9781607413769"</f>
        <v>9781607413769</v>
      </c>
      <c r="S2097" t="str">
        <f>"9781613243275"</f>
        <v>9781613243275</v>
      </c>
      <c r="T2097">
        <v>780442625</v>
      </c>
    </row>
    <row r="2098" spans="1:20" x14ac:dyDescent="0.25">
      <c r="A2098">
        <v>373013</v>
      </c>
      <c r="B2098" t="s">
        <v>10280</v>
      </c>
      <c r="C2098" t="s">
        <v>10281</v>
      </c>
      <c r="D2098" t="s">
        <v>2269</v>
      </c>
      <c r="E2098" t="s">
        <v>2269</v>
      </c>
      <c r="F2098">
        <v>2009</v>
      </c>
      <c r="G2098" t="s">
        <v>9050</v>
      </c>
      <c r="H2098" t="s">
        <v>10282</v>
      </c>
      <c r="I2098" t="s">
        <v>10283</v>
      </c>
      <c r="J2098" t="s">
        <v>26</v>
      </c>
      <c r="K2098" t="s">
        <v>27</v>
      </c>
      <c r="L2098" t="b">
        <v>1</v>
      </c>
      <c r="M2098" t="s">
        <v>10284</v>
      </c>
      <c r="N2098" t="str">
        <f>"547/.638"</f>
        <v>547/.638</v>
      </c>
      <c r="P2098" t="b">
        <v>0</v>
      </c>
      <c r="Q2098" t="b">
        <v>0</v>
      </c>
      <c r="R2098" t="str">
        <f>"9781616682828"</f>
        <v>9781616682828</v>
      </c>
      <c r="S2098" t="str">
        <f>"9781613243251"</f>
        <v>9781613243251</v>
      </c>
      <c r="T2098">
        <v>739712847</v>
      </c>
    </row>
    <row r="2099" spans="1:20" x14ac:dyDescent="0.25">
      <c r="A2099">
        <v>372472</v>
      </c>
      <c r="B2099" t="s">
        <v>10285</v>
      </c>
      <c r="D2099" t="s">
        <v>1526</v>
      </c>
      <c r="E2099" t="s">
        <v>1526</v>
      </c>
      <c r="F2099">
        <v>2006</v>
      </c>
      <c r="G2099" t="s">
        <v>10286</v>
      </c>
      <c r="H2099" t="s">
        <v>10287</v>
      </c>
      <c r="I2099" t="s">
        <v>10288</v>
      </c>
      <c r="J2099" t="s">
        <v>26</v>
      </c>
      <c r="K2099" t="s">
        <v>27</v>
      </c>
      <c r="L2099" t="b">
        <v>1</v>
      </c>
      <c r="M2099" t="s">
        <v>10289</v>
      </c>
      <c r="N2099" t="str">
        <f>"005.276"</f>
        <v>005.276</v>
      </c>
      <c r="P2099" t="b">
        <v>0</v>
      </c>
      <c r="R2099" t="str">
        <f>"9781904811923"</f>
        <v>9781904811923</v>
      </c>
      <c r="S2099" t="str">
        <f>"9781904811220"</f>
        <v>9781904811220</v>
      </c>
      <c r="T2099">
        <v>741690188</v>
      </c>
    </row>
    <row r="2100" spans="1:20" x14ac:dyDescent="0.25">
      <c r="A2100">
        <v>372471</v>
      </c>
      <c r="B2100" t="s">
        <v>10290</v>
      </c>
      <c r="D2100" t="s">
        <v>1526</v>
      </c>
      <c r="E2100" t="s">
        <v>1526</v>
      </c>
      <c r="F2100">
        <v>2005</v>
      </c>
      <c r="G2100" t="s">
        <v>10286</v>
      </c>
      <c r="H2100" t="s">
        <v>10291</v>
      </c>
      <c r="I2100" t="s">
        <v>10292</v>
      </c>
      <c r="J2100" t="s">
        <v>26</v>
      </c>
      <c r="K2100" t="s">
        <v>27</v>
      </c>
      <c r="L2100" t="b">
        <v>1</v>
      </c>
      <c r="M2100" t="s">
        <v>10293</v>
      </c>
      <c r="N2100" t="str">
        <f>"005.276"</f>
        <v>005.276</v>
      </c>
      <c r="P2100" t="b">
        <v>0</v>
      </c>
      <c r="R2100" t="str">
        <f>"9781904811732"</f>
        <v>9781904811732</v>
      </c>
      <c r="S2100" t="str">
        <f>"9781847190581"</f>
        <v>9781847190581</v>
      </c>
      <c r="T2100">
        <v>741693953</v>
      </c>
    </row>
    <row r="2101" spans="1:20" x14ac:dyDescent="0.25">
      <c r="A2101">
        <v>372469</v>
      </c>
      <c r="B2101" t="s">
        <v>10294</v>
      </c>
      <c r="C2101" t="s">
        <v>10295</v>
      </c>
      <c r="D2101" t="s">
        <v>1526</v>
      </c>
      <c r="E2101" t="s">
        <v>1526</v>
      </c>
      <c r="F2101">
        <v>2005</v>
      </c>
      <c r="G2101" t="s">
        <v>8643</v>
      </c>
      <c r="H2101" t="s">
        <v>10296</v>
      </c>
      <c r="I2101" t="s">
        <v>10297</v>
      </c>
      <c r="J2101" t="s">
        <v>26</v>
      </c>
      <c r="K2101" t="s">
        <v>27</v>
      </c>
      <c r="L2101" t="b">
        <v>1</v>
      </c>
      <c r="M2101" t="s">
        <v>10298</v>
      </c>
      <c r="N2101" t="str">
        <f>"005.72"</f>
        <v>005.72</v>
      </c>
      <c r="P2101" t="b">
        <v>0</v>
      </c>
      <c r="R2101" t="str">
        <f>"9781904811510"</f>
        <v>9781904811510</v>
      </c>
      <c r="S2101" t="str">
        <f>"9781847190383"</f>
        <v>9781847190383</v>
      </c>
      <c r="T2101">
        <v>733047785</v>
      </c>
    </row>
    <row r="2102" spans="1:20" x14ac:dyDescent="0.25">
      <c r="A2102">
        <v>372126</v>
      </c>
      <c r="B2102" t="s">
        <v>10299</v>
      </c>
      <c r="D2102" t="s">
        <v>5731</v>
      </c>
      <c r="E2102" t="s">
        <v>6240</v>
      </c>
      <c r="F2102">
        <v>2011</v>
      </c>
      <c r="G2102" t="s">
        <v>10300</v>
      </c>
      <c r="H2102" t="s">
        <v>10301</v>
      </c>
      <c r="I2102" t="s">
        <v>10302</v>
      </c>
      <c r="J2102" t="s">
        <v>26</v>
      </c>
      <c r="K2102" t="s">
        <v>86</v>
      </c>
      <c r="L2102" t="b">
        <v>1</v>
      </c>
      <c r="M2102" t="s">
        <v>10303</v>
      </c>
      <c r="N2102" t="str">
        <f>"796.48/03"</f>
        <v>796.48/03</v>
      </c>
      <c r="P2102" t="b">
        <v>0</v>
      </c>
      <c r="R2102" t="str">
        <f>"9780810872493"</f>
        <v>9780810872493</v>
      </c>
      <c r="S2102" t="str">
        <f>"9780810875227"</f>
        <v>9780810875227</v>
      </c>
      <c r="T2102">
        <v>741366030</v>
      </c>
    </row>
    <row r="2103" spans="1:20" x14ac:dyDescent="0.25">
      <c r="A2103">
        <v>370770</v>
      </c>
      <c r="B2103" t="s">
        <v>10304</v>
      </c>
      <c r="C2103" t="s">
        <v>10305</v>
      </c>
      <c r="D2103" t="s">
        <v>2238</v>
      </c>
      <c r="E2103" t="s">
        <v>2239</v>
      </c>
      <c r="F2103">
        <v>2011</v>
      </c>
      <c r="G2103" t="s">
        <v>2145</v>
      </c>
      <c r="H2103" t="s">
        <v>10306</v>
      </c>
      <c r="I2103" t="s">
        <v>10307</v>
      </c>
      <c r="J2103" t="s">
        <v>26</v>
      </c>
      <c r="K2103" t="s">
        <v>27</v>
      </c>
      <c r="L2103" t="b">
        <v>1</v>
      </c>
      <c r="M2103" t="s">
        <v>10308</v>
      </c>
      <c r="N2103" t="str">
        <f>"155.2"</f>
        <v>155.2</v>
      </c>
      <c r="P2103" t="b">
        <v>0</v>
      </c>
      <c r="R2103" t="str">
        <f>"9781855758841"</f>
        <v>9781855758841</v>
      </c>
      <c r="S2103" t="str">
        <f>"9781849408912"</f>
        <v>9781849408912</v>
      </c>
      <c r="T2103">
        <v>741787888</v>
      </c>
    </row>
    <row r="2104" spans="1:20" x14ac:dyDescent="0.25">
      <c r="A2104">
        <v>370733</v>
      </c>
      <c r="B2104" t="s">
        <v>10309</v>
      </c>
      <c r="D2104" t="s">
        <v>10310</v>
      </c>
      <c r="E2104" t="s">
        <v>10310</v>
      </c>
      <c r="F2104">
        <v>2011</v>
      </c>
      <c r="G2104" t="s">
        <v>10311</v>
      </c>
      <c r="H2104" t="s">
        <v>10312</v>
      </c>
      <c r="I2104" t="s">
        <v>10313</v>
      </c>
      <c r="J2104" t="s">
        <v>26</v>
      </c>
      <c r="K2104" t="s">
        <v>27</v>
      </c>
      <c r="L2104" t="b">
        <v>1</v>
      </c>
      <c r="M2104" t="s">
        <v>10314</v>
      </c>
      <c r="N2104" t="str">
        <f>"303.6/2"</f>
        <v>303.6/2</v>
      </c>
      <c r="P2104" t="b">
        <v>0</v>
      </c>
      <c r="R2104" t="str">
        <f>"9780826517807"</f>
        <v>9780826517807</v>
      </c>
      <c r="S2104" t="str">
        <f>"9780826517821"</f>
        <v>9780826517821</v>
      </c>
      <c r="T2104">
        <v>733806131</v>
      </c>
    </row>
    <row r="2105" spans="1:20" x14ac:dyDescent="0.25">
      <c r="A2105">
        <v>370732</v>
      </c>
      <c r="B2105" t="s">
        <v>10315</v>
      </c>
      <c r="C2105" t="s">
        <v>10316</v>
      </c>
      <c r="D2105" t="s">
        <v>10310</v>
      </c>
      <c r="E2105" t="s">
        <v>10310</v>
      </c>
      <c r="F2105">
        <v>2011</v>
      </c>
      <c r="G2105" t="s">
        <v>10317</v>
      </c>
      <c r="H2105" t="s">
        <v>10318</v>
      </c>
      <c r="I2105" t="s">
        <v>10319</v>
      </c>
      <c r="J2105" t="s">
        <v>26</v>
      </c>
      <c r="K2105" t="s">
        <v>27</v>
      </c>
      <c r="L2105" t="b">
        <v>1</v>
      </c>
      <c r="M2105" t="s">
        <v>10320</v>
      </c>
      <c r="N2105" t="str">
        <f>"306.4"</f>
        <v>306.4</v>
      </c>
      <c r="P2105" t="b">
        <v>0</v>
      </c>
      <c r="R2105" t="str">
        <f>"9780826517685"</f>
        <v>9780826517685</v>
      </c>
      <c r="S2105" t="str">
        <f>"9780826517708"</f>
        <v>9780826517708</v>
      </c>
      <c r="T2105">
        <v>733816447</v>
      </c>
    </row>
    <row r="2106" spans="1:20" x14ac:dyDescent="0.25">
      <c r="A2106">
        <v>370731</v>
      </c>
      <c r="B2106" t="s">
        <v>10321</v>
      </c>
      <c r="C2106" t="s">
        <v>10322</v>
      </c>
      <c r="D2106" t="s">
        <v>10310</v>
      </c>
      <c r="E2106" t="s">
        <v>10310</v>
      </c>
      <c r="F2106">
        <v>2011</v>
      </c>
      <c r="G2106" t="s">
        <v>10323</v>
      </c>
      <c r="H2106" t="s">
        <v>10324</v>
      </c>
      <c r="I2106" t="s">
        <v>10325</v>
      </c>
      <c r="J2106" t="s">
        <v>26</v>
      </c>
      <c r="K2106" t="s">
        <v>27</v>
      </c>
      <c r="L2106" t="b">
        <v>1</v>
      </c>
      <c r="M2106" t="s">
        <v>10326</v>
      </c>
      <c r="N2106" t="str">
        <f>"331.4"</f>
        <v>331.4</v>
      </c>
      <c r="P2106" t="b">
        <v>0</v>
      </c>
      <c r="R2106" t="str">
        <f>"9780826517654"</f>
        <v>9780826517654</v>
      </c>
      <c r="S2106" t="str">
        <f>"9780826517678"</f>
        <v>9780826517678</v>
      </c>
      <c r="T2106">
        <v>733800355</v>
      </c>
    </row>
    <row r="2107" spans="1:20" x14ac:dyDescent="0.25">
      <c r="A2107">
        <v>370730</v>
      </c>
      <c r="B2107" t="s">
        <v>10327</v>
      </c>
      <c r="C2107" t="s">
        <v>10328</v>
      </c>
      <c r="D2107" t="s">
        <v>10310</v>
      </c>
      <c r="E2107" t="s">
        <v>10310</v>
      </c>
      <c r="F2107">
        <v>2011</v>
      </c>
      <c r="G2107" t="s">
        <v>10329</v>
      </c>
      <c r="H2107" t="s">
        <v>10330</v>
      </c>
      <c r="I2107" t="s">
        <v>10331</v>
      </c>
      <c r="J2107" t="s">
        <v>26</v>
      </c>
      <c r="K2107" t="s">
        <v>27</v>
      </c>
      <c r="L2107" t="b">
        <v>1</v>
      </c>
      <c r="M2107" t="s">
        <v>10332</v>
      </c>
      <c r="N2107" t="str">
        <f>"370.117/50974711"</f>
        <v>370.117/50974711</v>
      </c>
      <c r="P2107" t="b">
        <v>0</v>
      </c>
      <c r="R2107" t="str">
        <f>"9780826517623"</f>
        <v>9780826517623</v>
      </c>
      <c r="S2107" t="str">
        <f>"9780826517647"</f>
        <v>9780826517647</v>
      </c>
      <c r="T2107">
        <v>733800356</v>
      </c>
    </row>
    <row r="2108" spans="1:20" x14ac:dyDescent="0.25">
      <c r="A2108">
        <v>369837</v>
      </c>
      <c r="B2108" t="s">
        <v>10333</v>
      </c>
      <c r="D2108" t="s">
        <v>1526</v>
      </c>
      <c r="E2108" t="s">
        <v>1526</v>
      </c>
      <c r="F2108">
        <v>2006</v>
      </c>
      <c r="G2108" t="s">
        <v>10334</v>
      </c>
      <c r="H2108" t="s">
        <v>10335</v>
      </c>
      <c r="I2108" t="s">
        <v>10292</v>
      </c>
      <c r="J2108" t="s">
        <v>26</v>
      </c>
      <c r="K2108" t="s">
        <v>27</v>
      </c>
      <c r="L2108" t="b">
        <v>1</v>
      </c>
      <c r="M2108" t="s">
        <v>10293</v>
      </c>
      <c r="N2108" t="str">
        <f>"006.7/8"</f>
        <v>006.7/8</v>
      </c>
      <c r="P2108" t="b">
        <v>0</v>
      </c>
      <c r="R2108" t="str">
        <f>"9781904811947"</f>
        <v>9781904811947</v>
      </c>
      <c r="S2108" t="str">
        <f>"9781847190765"</f>
        <v>9781847190765</v>
      </c>
      <c r="T2108">
        <v>730501964</v>
      </c>
    </row>
    <row r="2109" spans="1:20" x14ac:dyDescent="0.25">
      <c r="A2109">
        <v>369836</v>
      </c>
      <c r="B2109" t="s">
        <v>10336</v>
      </c>
      <c r="C2109" t="s">
        <v>10337</v>
      </c>
      <c r="D2109" t="s">
        <v>1526</v>
      </c>
      <c r="E2109" t="s">
        <v>1526</v>
      </c>
      <c r="F2109">
        <v>2006</v>
      </c>
      <c r="G2109" t="s">
        <v>10338</v>
      </c>
      <c r="H2109" t="s">
        <v>10339</v>
      </c>
      <c r="I2109" t="s">
        <v>10340</v>
      </c>
      <c r="J2109" t="s">
        <v>26</v>
      </c>
      <c r="K2109" t="s">
        <v>27</v>
      </c>
      <c r="L2109" t="b">
        <v>1</v>
      </c>
      <c r="M2109" t="s">
        <v>10341</v>
      </c>
      <c r="N2109" t="str">
        <f>"004.6"</f>
        <v>004.6</v>
      </c>
      <c r="P2109" t="b">
        <v>0</v>
      </c>
      <c r="R2109" t="str">
        <f>"9781904811930"</f>
        <v>9781904811930</v>
      </c>
      <c r="S2109" t="str">
        <f>"9781847190758"</f>
        <v>9781847190758</v>
      </c>
      <c r="T2109">
        <v>730500555</v>
      </c>
    </row>
    <row r="2110" spans="1:20" x14ac:dyDescent="0.25">
      <c r="A2110">
        <v>369835</v>
      </c>
      <c r="B2110" t="s">
        <v>10342</v>
      </c>
      <c r="D2110" t="s">
        <v>1526</v>
      </c>
      <c r="E2110" t="s">
        <v>1526</v>
      </c>
      <c r="F2110">
        <v>2006</v>
      </c>
      <c r="G2110" t="s">
        <v>10343</v>
      </c>
      <c r="H2110" t="s">
        <v>10344</v>
      </c>
      <c r="I2110" t="s">
        <v>10345</v>
      </c>
      <c r="J2110" t="s">
        <v>26</v>
      </c>
      <c r="K2110" t="s">
        <v>27</v>
      </c>
      <c r="L2110" t="b">
        <v>1</v>
      </c>
      <c r="M2110" t="s">
        <v>10346</v>
      </c>
      <c r="N2110" t="str">
        <f>"006.76"</f>
        <v>006.76</v>
      </c>
      <c r="P2110" t="b">
        <v>0</v>
      </c>
      <c r="Q2110" t="b">
        <v>1</v>
      </c>
      <c r="R2110" t="str">
        <f>"9781904811916"</f>
        <v>9781904811916</v>
      </c>
      <c r="S2110" t="str">
        <f>"9781847190741"</f>
        <v>9781847190741</v>
      </c>
      <c r="T2110">
        <v>730500583</v>
      </c>
    </row>
    <row r="2111" spans="1:20" x14ac:dyDescent="0.25">
      <c r="A2111">
        <v>369833</v>
      </c>
      <c r="B2111" t="s">
        <v>10347</v>
      </c>
      <c r="C2111" t="s">
        <v>10348</v>
      </c>
      <c r="D2111" t="s">
        <v>1526</v>
      </c>
      <c r="E2111" t="s">
        <v>1526</v>
      </c>
      <c r="F2111">
        <v>2006</v>
      </c>
      <c r="G2111" t="s">
        <v>10349</v>
      </c>
      <c r="H2111" t="s">
        <v>10350</v>
      </c>
      <c r="I2111" t="s">
        <v>10351</v>
      </c>
      <c r="J2111" t="s">
        <v>26</v>
      </c>
      <c r="K2111" t="s">
        <v>27</v>
      </c>
      <c r="L2111" t="b">
        <v>1</v>
      </c>
      <c r="M2111" t="s">
        <v>10352</v>
      </c>
      <c r="N2111" t="str">
        <f>"005.2762"</f>
        <v>005.2762</v>
      </c>
      <c r="P2111" t="b">
        <v>0</v>
      </c>
      <c r="R2111" t="str">
        <f>"9781904811824"</f>
        <v>9781904811824</v>
      </c>
      <c r="S2111" t="str">
        <f>"9781904811237"</f>
        <v>9781904811237</v>
      </c>
      <c r="T2111">
        <v>730501937</v>
      </c>
    </row>
    <row r="2112" spans="1:20" x14ac:dyDescent="0.25">
      <c r="A2112">
        <v>369832</v>
      </c>
      <c r="B2112" t="s">
        <v>10353</v>
      </c>
      <c r="C2112" t="s">
        <v>10354</v>
      </c>
      <c r="D2112" t="s">
        <v>1526</v>
      </c>
      <c r="E2112" t="s">
        <v>1526</v>
      </c>
      <c r="F2112">
        <v>2006</v>
      </c>
      <c r="G2112" t="s">
        <v>10343</v>
      </c>
      <c r="H2112" t="s">
        <v>10355</v>
      </c>
      <c r="I2112" t="s">
        <v>10356</v>
      </c>
      <c r="J2112" t="s">
        <v>26</v>
      </c>
      <c r="K2112" t="s">
        <v>27</v>
      </c>
      <c r="L2112" t="b">
        <v>1</v>
      </c>
      <c r="M2112" t="s">
        <v>10357</v>
      </c>
      <c r="N2112" t="str">
        <f>"006.7/6"</f>
        <v>006.7/6</v>
      </c>
      <c r="P2112" t="b">
        <v>0</v>
      </c>
      <c r="R2112" t="str">
        <f>"9781904811800"</f>
        <v>9781904811800</v>
      </c>
      <c r="S2112" t="str">
        <f>"9781847190659"</f>
        <v>9781847190659</v>
      </c>
      <c r="T2112">
        <v>730500562</v>
      </c>
    </row>
    <row r="2113" spans="1:20" x14ac:dyDescent="0.25">
      <c r="A2113">
        <v>369831</v>
      </c>
      <c r="B2113" t="s">
        <v>10358</v>
      </c>
      <c r="D2113" t="s">
        <v>1526</v>
      </c>
      <c r="E2113" t="s">
        <v>1526</v>
      </c>
      <c r="F2113">
        <v>2006</v>
      </c>
      <c r="G2113" t="s">
        <v>10349</v>
      </c>
      <c r="H2113" t="s">
        <v>10359</v>
      </c>
      <c r="I2113" t="s">
        <v>10360</v>
      </c>
      <c r="J2113" t="s">
        <v>26</v>
      </c>
      <c r="K2113" t="s">
        <v>27</v>
      </c>
      <c r="L2113" t="b">
        <v>1</v>
      </c>
      <c r="M2113" t="s">
        <v>10361</v>
      </c>
      <c r="N2113" t="str">
        <f>"005.2762"</f>
        <v>005.2762</v>
      </c>
      <c r="O2113" t="s">
        <v>8647</v>
      </c>
      <c r="P2113" t="b">
        <v>0</v>
      </c>
      <c r="R2113" t="str">
        <f>"9781904811794"</f>
        <v>9781904811794</v>
      </c>
      <c r="S2113" t="str">
        <f>"9781847190642"</f>
        <v>9781847190642</v>
      </c>
      <c r="T2113">
        <v>730503807</v>
      </c>
    </row>
    <row r="2114" spans="1:20" x14ac:dyDescent="0.25">
      <c r="A2114">
        <v>369830</v>
      </c>
      <c r="B2114" t="s">
        <v>10362</v>
      </c>
      <c r="C2114" t="s">
        <v>10363</v>
      </c>
      <c r="D2114" t="s">
        <v>1526</v>
      </c>
      <c r="E2114" t="s">
        <v>1526</v>
      </c>
      <c r="F2114">
        <v>2006</v>
      </c>
      <c r="G2114" t="s">
        <v>10286</v>
      </c>
      <c r="H2114" t="s">
        <v>10364</v>
      </c>
      <c r="I2114" t="s">
        <v>10365</v>
      </c>
      <c r="J2114" t="s">
        <v>26</v>
      </c>
      <c r="K2114" t="s">
        <v>27</v>
      </c>
      <c r="L2114" t="b">
        <v>1</v>
      </c>
      <c r="M2114" t="s">
        <v>10289</v>
      </c>
      <c r="N2114" t="str">
        <f>"005.376"</f>
        <v>005.376</v>
      </c>
      <c r="O2114" t="s">
        <v>8647</v>
      </c>
      <c r="P2114" t="b">
        <v>0</v>
      </c>
      <c r="R2114" t="str">
        <f>"9781904811503"</f>
        <v>9781904811503</v>
      </c>
      <c r="S2114" t="str">
        <f>"9781847190376"</f>
        <v>9781847190376</v>
      </c>
      <c r="T2114">
        <v>426118667</v>
      </c>
    </row>
    <row r="2115" spans="1:20" x14ac:dyDescent="0.25">
      <c r="A2115">
        <v>369829</v>
      </c>
      <c r="B2115" t="s">
        <v>10366</v>
      </c>
      <c r="C2115" t="s">
        <v>10367</v>
      </c>
      <c r="D2115" t="s">
        <v>1526</v>
      </c>
      <c r="E2115" t="s">
        <v>1526</v>
      </c>
      <c r="F2115">
        <v>2006</v>
      </c>
      <c r="G2115" t="s">
        <v>8643</v>
      </c>
      <c r="H2115" t="s">
        <v>10368</v>
      </c>
      <c r="I2115" t="s">
        <v>10369</v>
      </c>
      <c r="J2115" t="s">
        <v>26</v>
      </c>
      <c r="K2115" t="s">
        <v>27</v>
      </c>
      <c r="L2115" t="b">
        <v>1</v>
      </c>
      <c r="M2115" t="s">
        <v>10370</v>
      </c>
      <c r="N2115" t="str">
        <f>"005.7136"</f>
        <v>005.7136</v>
      </c>
      <c r="P2115" t="b">
        <v>0</v>
      </c>
      <c r="R2115" t="str">
        <f>"9781904811282"</f>
        <v>9781904811282</v>
      </c>
      <c r="S2115" t="str">
        <f>"9781847190185"</f>
        <v>9781847190185</v>
      </c>
      <c r="T2115">
        <v>741694246</v>
      </c>
    </row>
    <row r="2116" spans="1:20" x14ac:dyDescent="0.25">
      <c r="A2116">
        <v>369828</v>
      </c>
      <c r="B2116" t="s">
        <v>10371</v>
      </c>
      <c r="D2116" t="s">
        <v>1526</v>
      </c>
      <c r="E2116" t="s">
        <v>1526</v>
      </c>
      <c r="F2116">
        <v>2005</v>
      </c>
      <c r="H2116" t="s">
        <v>10372</v>
      </c>
      <c r="I2116" t="s">
        <v>10373</v>
      </c>
      <c r="J2116" t="s">
        <v>26</v>
      </c>
      <c r="K2116" t="s">
        <v>27</v>
      </c>
      <c r="L2116" t="b">
        <v>1</v>
      </c>
      <c r="M2116" t="s">
        <v>10374</v>
      </c>
      <c r="N2116" t="str">
        <f>"006.74"</f>
        <v>006.74</v>
      </c>
      <c r="O2116" t="s">
        <v>8647</v>
      </c>
      <c r="P2116" t="b">
        <v>0</v>
      </c>
      <c r="R2116" t="str">
        <f>"9781904811275"</f>
        <v>9781904811275</v>
      </c>
      <c r="S2116" t="str">
        <f>"9781847190178"</f>
        <v>9781847190178</v>
      </c>
      <c r="T2116">
        <v>701106515</v>
      </c>
    </row>
    <row r="2117" spans="1:20" x14ac:dyDescent="0.25">
      <c r="A2117">
        <v>369827</v>
      </c>
      <c r="B2117" t="s">
        <v>10375</v>
      </c>
      <c r="D2117" t="s">
        <v>1526</v>
      </c>
      <c r="E2117" t="s">
        <v>1526</v>
      </c>
      <c r="F2117">
        <v>2005</v>
      </c>
      <c r="G2117" t="s">
        <v>8592</v>
      </c>
      <c r="H2117" t="s">
        <v>10376</v>
      </c>
      <c r="I2117" t="s">
        <v>10377</v>
      </c>
      <c r="J2117" t="s">
        <v>26</v>
      </c>
      <c r="K2117" t="s">
        <v>27</v>
      </c>
      <c r="L2117" t="b">
        <v>1</v>
      </c>
      <c r="M2117" t="s">
        <v>10378</v>
      </c>
      <c r="N2117" t="str">
        <f>"621.3821"</f>
        <v>621.3821</v>
      </c>
      <c r="P2117" t="b">
        <v>0</v>
      </c>
      <c r="R2117" t="str">
        <f>"9781904811152"</f>
        <v>9781904811152</v>
      </c>
      <c r="S2117" t="str">
        <f>"9781847190093"</f>
        <v>9781847190093</v>
      </c>
      <c r="T2117">
        <v>730500609</v>
      </c>
    </row>
    <row r="2118" spans="1:20" x14ac:dyDescent="0.25">
      <c r="A2118">
        <v>369825</v>
      </c>
      <c r="B2118" t="s">
        <v>10379</v>
      </c>
      <c r="D2118" t="s">
        <v>1526</v>
      </c>
      <c r="E2118" t="s">
        <v>1526</v>
      </c>
      <c r="F2118">
        <v>2005</v>
      </c>
      <c r="G2118" t="s">
        <v>10349</v>
      </c>
      <c r="H2118" t="s">
        <v>10380</v>
      </c>
      <c r="I2118" t="s">
        <v>10345</v>
      </c>
      <c r="J2118" t="s">
        <v>26</v>
      </c>
      <c r="K2118" t="s">
        <v>27</v>
      </c>
      <c r="L2118" t="b">
        <v>1</v>
      </c>
      <c r="M2118" t="s">
        <v>10381</v>
      </c>
      <c r="N2118" t="str">
        <f>"005.2762"</f>
        <v>005.2762</v>
      </c>
      <c r="P2118" t="b">
        <v>0</v>
      </c>
      <c r="R2118" t="str">
        <f>"9781904811138"</f>
        <v>9781904811138</v>
      </c>
      <c r="S2118" t="str">
        <f>"9781847190079"</f>
        <v>9781847190079</v>
      </c>
      <c r="T2118">
        <v>741694047</v>
      </c>
    </row>
    <row r="2119" spans="1:20" x14ac:dyDescent="0.25">
      <c r="A2119">
        <v>369824</v>
      </c>
      <c r="B2119" t="s">
        <v>10382</v>
      </c>
      <c r="C2119" t="s">
        <v>10383</v>
      </c>
      <c r="D2119" t="s">
        <v>1526</v>
      </c>
      <c r="E2119" t="s">
        <v>1526</v>
      </c>
      <c r="F2119">
        <v>2006</v>
      </c>
      <c r="G2119" t="s">
        <v>10343</v>
      </c>
      <c r="H2119" t="s">
        <v>10384</v>
      </c>
      <c r="I2119" t="s">
        <v>10385</v>
      </c>
      <c r="J2119" t="s">
        <v>26</v>
      </c>
      <c r="K2119" t="s">
        <v>27</v>
      </c>
      <c r="L2119" t="b">
        <v>1</v>
      </c>
      <c r="M2119" t="s">
        <v>10386</v>
      </c>
      <c r="N2119" t="str">
        <f>"006.76"</f>
        <v>006.76</v>
      </c>
      <c r="P2119" t="b">
        <v>0</v>
      </c>
      <c r="R2119" t="str">
        <f>"9781904811114"</f>
        <v>9781904811114</v>
      </c>
      <c r="S2119" t="str">
        <f>"9781847190055"</f>
        <v>9781847190055</v>
      </c>
      <c r="T2119">
        <v>730501922</v>
      </c>
    </row>
    <row r="2120" spans="1:20" x14ac:dyDescent="0.25">
      <c r="A2120">
        <v>369821</v>
      </c>
      <c r="B2120" t="s">
        <v>10387</v>
      </c>
      <c r="D2120" t="s">
        <v>1526</v>
      </c>
      <c r="E2120" t="s">
        <v>1526</v>
      </c>
      <c r="F2120">
        <v>2006</v>
      </c>
      <c r="G2120" t="s">
        <v>10388</v>
      </c>
      <c r="H2120" t="s">
        <v>10389</v>
      </c>
      <c r="I2120" t="s">
        <v>10390</v>
      </c>
      <c r="J2120" t="s">
        <v>26</v>
      </c>
      <c r="K2120" t="s">
        <v>27</v>
      </c>
      <c r="L2120" t="b">
        <v>1</v>
      </c>
      <c r="M2120" t="s">
        <v>10391</v>
      </c>
      <c r="N2120" t="str">
        <f>"004.678"</f>
        <v>004.678</v>
      </c>
      <c r="P2120" t="b">
        <v>0</v>
      </c>
      <c r="R2120" t="str">
        <f>"9781904811855"</f>
        <v>9781904811855</v>
      </c>
      <c r="S2120" t="str">
        <f>"9781847190680"</f>
        <v>9781847190680</v>
      </c>
      <c r="T2120">
        <v>741694289</v>
      </c>
    </row>
    <row r="2121" spans="1:20" x14ac:dyDescent="0.25">
      <c r="A2121">
        <v>369819</v>
      </c>
      <c r="B2121" t="s">
        <v>10392</v>
      </c>
      <c r="C2121" t="s">
        <v>10393</v>
      </c>
      <c r="D2121" t="s">
        <v>1526</v>
      </c>
      <c r="E2121" t="s">
        <v>1526</v>
      </c>
      <c r="F2121">
        <v>2006</v>
      </c>
      <c r="G2121" t="s">
        <v>10394</v>
      </c>
      <c r="H2121" t="s">
        <v>10395</v>
      </c>
      <c r="I2121" t="s">
        <v>10396</v>
      </c>
      <c r="J2121" t="s">
        <v>26</v>
      </c>
      <c r="K2121" t="s">
        <v>27</v>
      </c>
      <c r="L2121" t="b">
        <v>1</v>
      </c>
      <c r="M2121" t="s">
        <v>10397</v>
      </c>
      <c r="N2121" t="str">
        <f>"005.2762"</f>
        <v>005.2762</v>
      </c>
      <c r="P2121" t="b">
        <v>0</v>
      </c>
      <c r="R2121" t="str">
        <f>"9781904811404"</f>
        <v>9781904811404</v>
      </c>
      <c r="S2121" t="str">
        <f>"9781847190284"</f>
        <v>9781847190284</v>
      </c>
      <c r="T2121">
        <v>741694297</v>
      </c>
    </row>
    <row r="2122" spans="1:20" x14ac:dyDescent="0.25">
      <c r="A2122">
        <v>369378</v>
      </c>
      <c r="B2122" t="s">
        <v>10398</v>
      </c>
      <c r="D2122" t="s">
        <v>2269</v>
      </c>
      <c r="E2122" t="s">
        <v>2269</v>
      </c>
      <c r="F2122">
        <v>2009</v>
      </c>
      <c r="G2122" t="s">
        <v>1459</v>
      </c>
      <c r="H2122" t="s">
        <v>10399</v>
      </c>
      <c r="I2122" t="s">
        <v>10400</v>
      </c>
      <c r="J2122" t="s">
        <v>26</v>
      </c>
      <c r="K2122" t="s">
        <v>27</v>
      </c>
      <c r="L2122" t="b">
        <v>1</v>
      </c>
      <c r="M2122" t="s">
        <v>10401</v>
      </c>
      <c r="N2122" t="str">
        <f>"536"</f>
        <v>536</v>
      </c>
      <c r="P2122" t="b">
        <v>0</v>
      </c>
      <c r="Q2122" t="b">
        <v>0</v>
      </c>
      <c r="R2122" t="str">
        <f>"9781606927861"</f>
        <v>9781606927861</v>
      </c>
      <c r="S2122" t="str">
        <f>"9781607414179"</f>
        <v>9781607414179</v>
      </c>
      <c r="T2122">
        <v>730514985</v>
      </c>
    </row>
    <row r="2123" spans="1:20" x14ac:dyDescent="0.25">
      <c r="A2123">
        <v>369305</v>
      </c>
      <c r="B2123" t="s">
        <v>10402</v>
      </c>
      <c r="C2123" t="s">
        <v>10403</v>
      </c>
      <c r="D2123" t="s">
        <v>9418</v>
      </c>
      <c r="E2123" t="s">
        <v>2143</v>
      </c>
      <c r="F2123">
        <v>2001</v>
      </c>
      <c r="G2123" t="s">
        <v>2145</v>
      </c>
      <c r="H2123" t="s">
        <v>10404</v>
      </c>
      <c r="I2123" t="s">
        <v>10405</v>
      </c>
      <c r="J2123" t="s">
        <v>26</v>
      </c>
      <c r="K2123" t="s">
        <v>27</v>
      </c>
      <c r="L2123" t="b">
        <v>1</v>
      </c>
      <c r="M2123" t="s">
        <v>10406</v>
      </c>
      <c r="N2123" t="str">
        <f>"616.89/156"</f>
        <v>616.89/156</v>
      </c>
      <c r="O2123" t="s">
        <v>10407</v>
      </c>
      <c r="P2123" t="b">
        <v>0</v>
      </c>
      <c r="S2123" t="str">
        <f>"9781849403085"</f>
        <v>9781849403085</v>
      </c>
      <c r="T2123">
        <v>733942822</v>
      </c>
    </row>
    <row r="2124" spans="1:20" x14ac:dyDescent="0.25">
      <c r="A2124">
        <v>368652</v>
      </c>
      <c r="B2124" t="s">
        <v>10408</v>
      </c>
      <c r="D2124" t="s">
        <v>2269</v>
      </c>
      <c r="E2124" t="s">
        <v>2269</v>
      </c>
      <c r="F2124">
        <v>2009</v>
      </c>
      <c r="G2124" t="s">
        <v>1054</v>
      </c>
      <c r="H2124" t="s">
        <v>10409</v>
      </c>
      <c r="I2124" t="s">
        <v>10410</v>
      </c>
      <c r="J2124" t="s">
        <v>26</v>
      </c>
      <c r="K2124" t="s">
        <v>27</v>
      </c>
      <c r="L2124" t="b">
        <v>1</v>
      </c>
      <c r="M2124" t="s">
        <v>10411</v>
      </c>
      <c r="N2124" t="str">
        <f>"616.1/207547"</f>
        <v>616.1/207547</v>
      </c>
      <c r="O2124" t="s">
        <v>10412</v>
      </c>
      <c r="P2124" t="b">
        <v>0</v>
      </c>
      <c r="Q2124" t="b">
        <v>0</v>
      </c>
      <c r="R2124" t="str">
        <f>"9781607410218"</f>
        <v>9781607410218</v>
      </c>
      <c r="S2124" t="str">
        <f>"9781612096674"</f>
        <v>9781612096674</v>
      </c>
      <c r="T2124">
        <v>730514983</v>
      </c>
    </row>
    <row r="2125" spans="1:20" x14ac:dyDescent="0.25">
      <c r="A2125">
        <v>367864</v>
      </c>
      <c r="B2125" t="s">
        <v>10413</v>
      </c>
      <c r="C2125" t="s">
        <v>10414</v>
      </c>
      <c r="D2125" t="s">
        <v>226</v>
      </c>
      <c r="E2125" t="s">
        <v>226</v>
      </c>
      <c r="F2125">
        <v>2011</v>
      </c>
      <c r="G2125" t="s">
        <v>197</v>
      </c>
      <c r="H2125" t="s">
        <v>10415</v>
      </c>
      <c r="I2125" t="s">
        <v>10416</v>
      </c>
      <c r="J2125" t="s">
        <v>26</v>
      </c>
      <c r="K2125" t="s">
        <v>27</v>
      </c>
      <c r="L2125" t="b">
        <v>1</v>
      </c>
      <c r="M2125" t="s">
        <v>10417</v>
      </c>
      <c r="N2125" t="str">
        <f>"808.1"</f>
        <v>808.1</v>
      </c>
      <c r="P2125" t="b">
        <v>0</v>
      </c>
      <c r="Q2125" t="b">
        <v>0</v>
      </c>
      <c r="R2125" t="str">
        <f>"9780226044774"</f>
        <v>9780226044774</v>
      </c>
      <c r="S2125" t="str">
        <f>"9780226044750"</f>
        <v>9780226044750</v>
      </c>
      <c r="T2125">
        <v>729252847</v>
      </c>
    </row>
    <row r="2126" spans="1:20" x14ac:dyDescent="0.25">
      <c r="A2126">
        <v>367670</v>
      </c>
      <c r="B2126" t="s">
        <v>10418</v>
      </c>
      <c r="D2126" t="s">
        <v>203</v>
      </c>
      <c r="E2126" t="s">
        <v>1109</v>
      </c>
      <c r="F2126">
        <v>2011</v>
      </c>
      <c r="G2126" t="s">
        <v>1110</v>
      </c>
      <c r="H2126" t="s">
        <v>10419</v>
      </c>
      <c r="I2126" t="s">
        <v>10420</v>
      </c>
      <c r="J2126" t="s">
        <v>26</v>
      </c>
      <c r="K2126" t="s">
        <v>27</v>
      </c>
      <c r="L2126" t="b">
        <v>1</v>
      </c>
      <c r="M2126" t="s">
        <v>10421</v>
      </c>
      <c r="N2126" t="str">
        <f>"616.89071141"</f>
        <v>616.89071141</v>
      </c>
      <c r="P2126" t="b">
        <v>0</v>
      </c>
      <c r="R2126" t="str">
        <f>"9781904671992"</f>
        <v>9781904671992</v>
      </c>
      <c r="S2126" t="str">
        <f>"9781904671688"</f>
        <v>9781904671688</v>
      </c>
      <c r="T2126">
        <v>741367151</v>
      </c>
    </row>
    <row r="2127" spans="1:20" x14ac:dyDescent="0.25">
      <c r="A2127">
        <v>367544</v>
      </c>
      <c r="B2127" t="s">
        <v>10422</v>
      </c>
      <c r="C2127" t="s">
        <v>10423</v>
      </c>
      <c r="D2127" t="s">
        <v>10310</v>
      </c>
      <c r="E2127" t="s">
        <v>10310</v>
      </c>
      <c r="F2127">
        <v>2011</v>
      </c>
      <c r="G2127" t="s">
        <v>2406</v>
      </c>
      <c r="H2127" t="s">
        <v>10424</v>
      </c>
      <c r="I2127" t="s">
        <v>10425</v>
      </c>
      <c r="J2127" t="s">
        <v>26</v>
      </c>
      <c r="K2127" t="s">
        <v>27</v>
      </c>
      <c r="L2127" t="b">
        <v>1</v>
      </c>
      <c r="M2127" t="s">
        <v>10426</v>
      </c>
      <c r="N2127" t="str">
        <f>"972.9407/3"</f>
        <v>972.9407/3</v>
      </c>
      <c r="P2127" t="b">
        <v>0</v>
      </c>
      <c r="R2127" t="str">
        <f>"9780826517838"</f>
        <v>9780826517838</v>
      </c>
      <c r="S2127" t="str">
        <f>"9780826517852"</f>
        <v>9780826517852</v>
      </c>
      <c r="T2127">
        <v>733544758</v>
      </c>
    </row>
    <row r="2128" spans="1:20" x14ac:dyDescent="0.25">
      <c r="A2128">
        <v>367542</v>
      </c>
      <c r="B2128" t="s">
        <v>10427</v>
      </c>
      <c r="C2128" t="s">
        <v>10428</v>
      </c>
      <c r="D2128" t="s">
        <v>10310</v>
      </c>
      <c r="E2128" t="s">
        <v>10310</v>
      </c>
      <c r="F2128">
        <v>2011</v>
      </c>
      <c r="G2128" t="s">
        <v>3779</v>
      </c>
      <c r="H2128" t="s">
        <v>10429</v>
      </c>
      <c r="I2128" t="s">
        <v>10430</v>
      </c>
      <c r="J2128" t="s">
        <v>26</v>
      </c>
      <c r="K2128" t="s">
        <v>27</v>
      </c>
      <c r="L2128" t="b">
        <v>1</v>
      </c>
      <c r="M2128" t="s">
        <v>10431</v>
      </c>
      <c r="N2128" t="str">
        <f>"975.8/043092"</f>
        <v>975.8/043092</v>
      </c>
      <c r="P2128" t="b">
        <v>0</v>
      </c>
      <c r="R2128" t="str">
        <f>"9780826517593"</f>
        <v>9780826517593</v>
      </c>
      <c r="S2128" t="str">
        <f>"9780826517616"</f>
        <v>9780826517616</v>
      </c>
      <c r="T2128">
        <v>727948427</v>
      </c>
    </row>
    <row r="2129" spans="1:20" x14ac:dyDescent="0.25">
      <c r="A2129">
        <v>367541</v>
      </c>
      <c r="B2129" t="s">
        <v>10432</v>
      </c>
      <c r="C2129" t="s">
        <v>10433</v>
      </c>
      <c r="D2129" t="s">
        <v>10310</v>
      </c>
      <c r="E2129" t="s">
        <v>10310</v>
      </c>
      <c r="F2129">
        <v>2011</v>
      </c>
      <c r="G2129" t="s">
        <v>10434</v>
      </c>
      <c r="H2129" t="s">
        <v>10435</v>
      </c>
      <c r="I2129" t="s">
        <v>10436</v>
      </c>
      <c r="J2129" t="s">
        <v>26</v>
      </c>
      <c r="K2129" t="s">
        <v>27</v>
      </c>
      <c r="L2129" t="b">
        <v>1</v>
      </c>
      <c r="M2129" t="s">
        <v>10437</v>
      </c>
      <c r="N2129" t="str">
        <f>"362.196/9792009771"</f>
        <v>362.196/9792009771</v>
      </c>
      <c r="P2129" t="b">
        <v>0</v>
      </c>
      <c r="R2129" t="str">
        <f>"9780826517531"</f>
        <v>9780826517531</v>
      </c>
      <c r="S2129" t="str">
        <f>"9780826517555"</f>
        <v>9780826517555</v>
      </c>
      <c r="T2129">
        <v>733543792</v>
      </c>
    </row>
    <row r="2130" spans="1:20" x14ac:dyDescent="0.25">
      <c r="A2130">
        <v>367540</v>
      </c>
      <c r="B2130" t="s">
        <v>10438</v>
      </c>
      <c r="C2130" t="s">
        <v>10439</v>
      </c>
      <c r="D2130" t="s">
        <v>10310</v>
      </c>
      <c r="E2130" t="s">
        <v>10310</v>
      </c>
      <c r="F2130">
        <v>2010</v>
      </c>
      <c r="G2130" t="s">
        <v>10440</v>
      </c>
      <c r="H2130" t="s">
        <v>10441</v>
      </c>
      <c r="I2130" t="s">
        <v>10442</v>
      </c>
      <c r="J2130" t="s">
        <v>26</v>
      </c>
      <c r="K2130" t="s">
        <v>27</v>
      </c>
      <c r="L2130" t="b">
        <v>1</v>
      </c>
      <c r="M2130" t="s">
        <v>10443</v>
      </c>
      <c r="N2130" t="str">
        <f>"362.82/92098525"</f>
        <v>362.82/92098525</v>
      </c>
      <c r="P2130" t="b">
        <v>0</v>
      </c>
      <c r="R2130" t="str">
        <f>"9780826517296"</f>
        <v>9780826517296</v>
      </c>
      <c r="S2130" t="str">
        <f>"9780826517319"</f>
        <v>9780826517319</v>
      </c>
      <c r="T2130">
        <v>727944791</v>
      </c>
    </row>
    <row r="2131" spans="1:20" x14ac:dyDescent="0.25">
      <c r="A2131">
        <v>367539</v>
      </c>
      <c r="B2131" t="s">
        <v>10444</v>
      </c>
      <c r="C2131" t="s">
        <v>10445</v>
      </c>
      <c r="D2131" t="s">
        <v>10310</v>
      </c>
      <c r="E2131" t="s">
        <v>10310</v>
      </c>
      <c r="F2131">
        <v>2010</v>
      </c>
      <c r="G2131" t="s">
        <v>2203</v>
      </c>
      <c r="H2131" t="s">
        <v>10446</v>
      </c>
      <c r="I2131" t="s">
        <v>10447</v>
      </c>
      <c r="J2131" t="s">
        <v>26</v>
      </c>
      <c r="K2131" t="s">
        <v>27</v>
      </c>
      <c r="L2131" t="b">
        <v>1</v>
      </c>
      <c r="M2131" t="s">
        <v>10448</v>
      </c>
      <c r="N2131" t="str">
        <f>"863/.087209972"</f>
        <v>863/.087209972</v>
      </c>
      <c r="P2131" t="b">
        <v>1</v>
      </c>
      <c r="R2131" t="str">
        <f>"9780826517265"</f>
        <v>9780826517265</v>
      </c>
      <c r="S2131" t="str">
        <f>"9780826517289"</f>
        <v>9780826517289</v>
      </c>
      <c r="T2131">
        <v>727944846</v>
      </c>
    </row>
    <row r="2132" spans="1:20" x14ac:dyDescent="0.25">
      <c r="A2132">
        <v>367538</v>
      </c>
      <c r="B2132" t="s">
        <v>10449</v>
      </c>
      <c r="C2132" t="s">
        <v>10450</v>
      </c>
      <c r="D2132" t="s">
        <v>10310</v>
      </c>
      <c r="E2132" t="s">
        <v>10310</v>
      </c>
      <c r="F2132">
        <v>2010</v>
      </c>
      <c r="G2132" t="s">
        <v>9186</v>
      </c>
      <c r="H2132" t="s">
        <v>10451</v>
      </c>
      <c r="I2132" t="s">
        <v>10452</v>
      </c>
      <c r="J2132" t="s">
        <v>26</v>
      </c>
      <c r="K2132" t="s">
        <v>27</v>
      </c>
      <c r="L2132" t="b">
        <v>1</v>
      </c>
      <c r="M2132" t="s">
        <v>10453</v>
      </c>
      <c r="N2132" t="str">
        <f>"362.19/82009679"</f>
        <v>362.19/82009679</v>
      </c>
      <c r="P2132" t="b">
        <v>0</v>
      </c>
      <c r="R2132" t="str">
        <f>"9780826517173"</f>
        <v>9780826517173</v>
      </c>
      <c r="S2132" t="str">
        <f>"9780826517197"</f>
        <v>9780826517197</v>
      </c>
      <c r="T2132">
        <v>727951493</v>
      </c>
    </row>
    <row r="2133" spans="1:20" x14ac:dyDescent="0.25">
      <c r="A2133">
        <v>367537</v>
      </c>
      <c r="B2133" t="s">
        <v>10454</v>
      </c>
      <c r="D2133" t="s">
        <v>10310</v>
      </c>
      <c r="E2133" t="s">
        <v>10310</v>
      </c>
      <c r="F2133">
        <v>2010</v>
      </c>
      <c r="G2133" t="s">
        <v>5469</v>
      </c>
      <c r="H2133" t="s">
        <v>10455</v>
      </c>
      <c r="I2133" t="s">
        <v>10456</v>
      </c>
      <c r="J2133" t="s">
        <v>26</v>
      </c>
      <c r="K2133" t="s">
        <v>27</v>
      </c>
      <c r="L2133" t="b">
        <v>1</v>
      </c>
      <c r="M2133" t="s">
        <v>10457</v>
      </c>
      <c r="N2133" t="str">
        <f>"860.9/0064"</f>
        <v>860.9/0064</v>
      </c>
      <c r="O2133" t="s">
        <v>10458</v>
      </c>
      <c r="P2133" t="b">
        <v>0</v>
      </c>
      <c r="R2133" t="str">
        <f>"9780826517234"</f>
        <v>9780826517234</v>
      </c>
      <c r="S2133" t="str">
        <f>"9780826517258"</f>
        <v>9780826517258</v>
      </c>
      <c r="T2133">
        <v>727948504</v>
      </c>
    </row>
    <row r="2134" spans="1:20" x14ac:dyDescent="0.25">
      <c r="A2134">
        <v>367536</v>
      </c>
      <c r="B2134" t="s">
        <v>10459</v>
      </c>
      <c r="C2134" t="s">
        <v>10460</v>
      </c>
      <c r="D2134" t="s">
        <v>10310</v>
      </c>
      <c r="E2134" t="s">
        <v>10310</v>
      </c>
      <c r="F2134">
        <v>2010</v>
      </c>
      <c r="G2134" t="s">
        <v>10461</v>
      </c>
      <c r="H2134" t="s">
        <v>10462</v>
      </c>
      <c r="J2134" t="s">
        <v>26</v>
      </c>
      <c r="K2134" t="s">
        <v>27</v>
      </c>
      <c r="L2134" t="b">
        <v>1</v>
      </c>
      <c r="M2134" t="s">
        <v>10463</v>
      </c>
      <c r="N2134" t="str">
        <f>"987/.04092"</f>
        <v>987/.04092</v>
      </c>
      <c r="P2134" t="b">
        <v>0</v>
      </c>
      <c r="R2134" t="str">
        <f>"9780826516930"</f>
        <v>9780826516930</v>
      </c>
      <c r="S2134" t="str">
        <f>"9780826516954"</f>
        <v>9780826516954</v>
      </c>
      <c r="T2134">
        <v>727951313</v>
      </c>
    </row>
    <row r="2135" spans="1:20" x14ac:dyDescent="0.25">
      <c r="A2135">
        <v>367535</v>
      </c>
      <c r="B2135" t="s">
        <v>10464</v>
      </c>
      <c r="C2135" t="s">
        <v>10465</v>
      </c>
      <c r="D2135" t="s">
        <v>10310</v>
      </c>
      <c r="E2135" t="s">
        <v>10310</v>
      </c>
      <c r="F2135">
        <v>2009</v>
      </c>
      <c r="G2135" t="s">
        <v>10466</v>
      </c>
      <c r="H2135" t="s">
        <v>10467</v>
      </c>
      <c r="I2135" t="s">
        <v>10468</v>
      </c>
      <c r="J2135" t="s">
        <v>26</v>
      </c>
      <c r="K2135" t="s">
        <v>27</v>
      </c>
      <c r="L2135" t="b">
        <v>1</v>
      </c>
      <c r="M2135" t="s">
        <v>10469</v>
      </c>
      <c r="N2135" t="str">
        <f>"362.196/3980086942"</f>
        <v>362.196/3980086942</v>
      </c>
      <c r="P2135" t="b">
        <v>0</v>
      </c>
      <c r="R2135" t="str">
        <f>"9780826516350"</f>
        <v>9780826516350</v>
      </c>
      <c r="S2135" t="str">
        <f>"9780826516374"</f>
        <v>9780826516374</v>
      </c>
      <c r="T2135">
        <v>727948506</v>
      </c>
    </row>
    <row r="2136" spans="1:20" x14ac:dyDescent="0.25">
      <c r="A2136">
        <v>367285</v>
      </c>
      <c r="B2136" t="s">
        <v>10470</v>
      </c>
      <c r="D2136" t="s">
        <v>10471</v>
      </c>
      <c r="E2136" t="s">
        <v>10472</v>
      </c>
      <c r="F2136">
        <v>2006</v>
      </c>
      <c r="G2136" t="s">
        <v>10473</v>
      </c>
      <c r="H2136" t="s">
        <v>10474</v>
      </c>
      <c r="I2136" t="s">
        <v>10475</v>
      </c>
      <c r="J2136" t="s">
        <v>26</v>
      </c>
      <c r="K2136" t="s">
        <v>27</v>
      </c>
      <c r="L2136" t="b">
        <v>1</v>
      </c>
      <c r="M2136" t="s">
        <v>10476</v>
      </c>
      <c r="N2136" t="str">
        <f>"658.4/73"</f>
        <v>658.4/73</v>
      </c>
      <c r="P2136" t="b">
        <v>0</v>
      </c>
      <c r="R2136" t="str">
        <f>"9780983236191"</f>
        <v>9780983236191</v>
      </c>
      <c r="S2136" t="str">
        <f>"9781937246990"</f>
        <v>9781937246990</v>
      </c>
      <c r="T2136">
        <v>730524590</v>
      </c>
    </row>
    <row r="2137" spans="1:20" x14ac:dyDescent="0.25">
      <c r="A2137">
        <v>367192</v>
      </c>
      <c r="B2137" t="s">
        <v>10477</v>
      </c>
      <c r="D2137" t="s">
        <v>2269</v>
      </c>
      <c r="E2137" t="s">
        <v>2269</v>
      </c>
      <c r="F2137">
        <v>2009</v>
      </c>
      <c r="G2137" t="s">
        <v>10478</v>
      </c>
      <c r="H2137" t="s">
        <v>10479</v>
      </c>
      <c r="I2137" t="s">
        <v>10480</v>
      </c>
      <c r="J2137" t="s">
        <v>26</v>
      </c>
      <c r="K2137" t="s">
        <v>27</v>
      </c>
      <c r="L2137" t="b">
        <v>1</v>
      </c>
      <c r="M2137" t="s">
        <v>10481</v>
      </c>
      <c r="N2137" t="str">
        <f>"535/.2"</f>
        <v>535/.2</v>
      </c>
      <c r="O2137" t="s">
        <v>10482</v>
      </c>
      <c r="P2137" t="b">
        <v>0</v>
      </c>
      <c r="Q2137" t="b">
        <v>0</v>
      </c>
      <c r="R2137" t="str">
        <f>"9781607410256"</f>
        <v>9781607410256</v>
      </c>
      <c r="S2137" t="str">
        <f>"9781607418214"</f>
        <v>9781607418214</v>
      </c>
      <c r="T2137">
        <v>726743264</v>
      </c>
    </row>
    <row r="2138" spans="1:20" x14ac:dyDescent="0.25">
      <c r="A2138">
        <v>366794</v>
      </c>
      <c r="B2138" t="s">
        <v>10483</v>
      </c>
      <c r="D2138" t="s">
        <v>9418</v>
      </c>
      <c r="E2138" t="s">
        <v>2143</v>
      </c>
      <c r="F2138">
        <v>1996</v>
      </c>
      <c r="G2138" t="s">
        <v>2145</v>
      </c>
      <c r="H2138" t="s">
        <v>10484</v>
      </c>
      <c r="I2138" t="s">
        <v>7649</v>
      </c>
      <c r="J2138" t="s">
        <v>26</v>
      </c>
      <c r="K2138" t="s">
        <v>27</v>
      </c>
      <c r="L2138" t="b">
        <v>1</v>
      </c>
      <c r="M2138" t="s">
        <v>10485</v>
      </c>
      <c r="N2138" t="str">
        <f>"616.89/17"</f>
        <v>616.89/17</v>
      </c>
      <c r="O2138" t="s">
        <v>10486</v>
      </c>
      <c r="P2138" t="b">
        <v>0</v>
      </c>
      <c r="S2138" t="str">
        <f>"9781849402132"</f>
        <v>9781849402132</v>
      </c>
      <c r="T2138">
        <v>728661189</v>
      </c>
    </row>
    <row r="2139" spans="1:20" x14ac:dyDescent="0.25">
      <c r="A2139">
        <v>366661</v>
      </c>
      <c r="B2139" t="s">
        <v>10487</v>
      </c>
      <c r="D2139" t="s">
        <v>6269</v>
      </c>
      <c r="E2139" t="s">
        <v>6269</v>
      </c>
      <c r="F2139">
        <v>2002</v>
      </c>
      <c r="G2139" t="s">
        <v>10488</v>
      </c>
      <c r="H2139" t="s">
        <v>10489</v>
      </c>
      <c r="I2139" t="s">
        <v>10490</v>
      </c>
      <c r="J2139" t="s">
        <v>26</v>
      </c>
      <c r="K2139" t="s">
        <v>27</v>
      </c>
      <c r="L2139" t="b">
        <v>1</v>
      </c>
      <c r="M2139" t="s">
        <v>10491</v>
      </c>
      <c r="N2139" t="str">
        <f>"519.5/35"</f>
        <v>519.5/35</v>
      </c>
      <c r="P2139" t="b">
        <v>0</v>
      </c>
      <c r="R2139" t="str">
        <f>"9781590470237"</f>
        <v>9781590470237</v>
      </c>
      <c r="S2139" t="str">
        <f>"9781599941424"</f>
        <v>9781599941424</v>
      </c>
      <c r="T2139">
        <v>730515008</v>
      </c>
    </row>
    <row r="2140" spans="1:20" x14ac:dyDescent="0.25">
      <c r="A2140">
        <v>366013</v>
      </c>
      <c r="B2140" t="s">
        <v>10492</v>
      </c>
      <c r="D2140" t="s">
        <v>4147</v>
      </c>
      <c r="E2140" t="s">
        <v>4147</v>
      </c>
      <c r="F2140">
        <v>2011</v>
      </c>
      <c r="G2140" t="s">
        <v>4822</v>
      </c>
      <c r="H2140" t="s">
        <v>10493</v>
      </c>
      <c r="I2140" t="s">
        <v>10494</v>
      </c>
      <c r="J2140" t="s">
        <v>26</v>
      </c>
      <c r="K2140" t="s">
        <v>27</v>
      </c>
      <c r="L2140" t="b">
        <v>1</v>
      </c>
      <c r="M2140" t="s">
        <v>10495</v>
      </c>
      <c r="N2140" t="str">
        <f>"610.73"</f>
        <v>610.73</v>
      </c>
      <c r="P2140" t="b">
        <v>0</v>
      </c>
      <c r="R2140" t="str">
        <f>"9781935476566"</f>
        <v>9781935476566</v>
      </c>
      <c r="S2140" t="str">
        <f>"9781935476580"</f>
        <v>9781935476580</v>
      </c>
      <c r="T2140">
        <v>727368387</v>
      </c>
    </row>
    <row r="2141" spans="1:20" x14ac:dyDescent="0.25">
      <c r="A2141">
        <v>364900</v>
      </c>
      <c r="B2141" t="s">
        <v>10496</v>
      </c>
      <c r="D2141" t="s">
        <v>5060</v>
      </c>
      <c r="E2141" t="s">
        <v>5060</v>
      </c>
      <c r="F2141">
        <v>2011</v>
      </c>
      <c r="G2141" t="s">
        <v>10434</v>
      </c>
      <c r="H2141" t="s">
        <v>10497</v>
      </c>
      <c r="I2141" t="s">
        <v>10498</v>
      </c>
      <c r="J2141" t="s">
        <v>26</v>
      </c>
      <c r="K2141" t="s">
        <v>27</v>
      </c>
      <c r="L2141" t="b">
        <v>1</v>
      </c>
      <c r="M2141" t="s">
        <v>7211</v>
      </c>
      <c r="N2141" t="str">
        <f>"362.1969792"</f>
        <v>362.1969792</v>
      </c>
      <c r="O2141" t="s">
        <v>5064</v>
      </c>
      <c r="P2141" t="b">
        <v>0</v>
      </c>
      <c r="R2141" t="str">
        <f>"9781921507335"</f>
        <v>9781921507335</v>
      </c>
      <c r="S2141" t="str">
        <f>"9781921507380"</f>
        <v>9781921507380</v>
      </c>
      <c r="T2141">
        <v>722444349</v>
      </c>
    </row>
    <row r="2142" spans="1:20" x14ac:dyDescent="0.25">
      <c r="A2142">
        <v>364191</v>
      </c>
      <c r="B2142" t="s">
        <v>10499</v>
      </c>
      <c r="C2142" t="s">
        <v>10500</v>
      </c>
      <c r="D2142" t="s">
        <v>5731</v>
      </c>
      <c r="E2142" t="s">
        <v>10501</v>
      </c>
      <c r="F2142">
        <v>2011</v>
      </c>
      <c r="G2142" t="s">
        <v>10502</v>
      </c>
      <c r="H2142" t="s">
        <v>10503</v>
      </c>
      <c r="I2142" t="s">
        <v>10504</v>
      </c>
      <c r="J2142" t="s">
        <v>26</v>
      </c>
      <c r="K2142" t="s">
        <v>27</v>
      </c>
      <c r="L2142" t="b">
        <v>1</v>
      </c>
      <c r="M2142" t="s">
        <v>10505</v>
      </c>
      <c r="N2142" t="str">
        <f>"331.0973/021"</f>
        <v>331.0973/021</v>
      </c>
      <c r="O2142" t="s">
        <v>10506</v>
      </c>
      <c r="P2142" t="b">
        <v>0</v>
      </c>
      <c r="R2142" t="str">
        <f>"9781598884791"</f>
        <v>9781598884791</v>
      </c>
      <c r="S2142" t="str">
        <f>"9781598884807"</f>
        <v>9781598884807</v>
      </c>
      <c r="T2142">
        <v>716230154</v>
      </c>
    </row>
    <row r="2143" spans="1:20" x14ac:dyDescent="0.25">
      <c r="A2143">
        <v>364091</v>
      </c>
      <c r="B2143" t="s">
        <v>10507</v>
      </c>
      <c r="C2143" t="s">
        <v>10508</v>
      </c>
      <c r="D2143" t="s">
        <v>255</v>
      </c>
      <c r="E2143" t="s">
        <v>10509</v>
      </c>
      <c r="F2143">
        <v>2009</v>
      </c>
      <c r="G2143" t="s">
        <v>2355</v>
      </c>
      <c r="H2143" t="s">
        <v>10510</v>
      </c>
      <c r="I2143" t="s">
        <v>10511</v>
      </c>
      <c r="J2143" t="s">
        <v>26</v>
      </c>
      <c r="K2143" t="s">
        <v>27</v>
      </c>
      <c r="L2143" t="b">
        <v>1</v>
      </c>
      <c r="M2143" t="s">
        <v>10512</v>
      </c>
      <c r="N2143" t="str">
        <f>"781.63092"</f>
        <v>781.63092</v>
      </c>
      <c r="P2143" t="b">
        <v>0</v>
      </c>
      <c r="R2143" t="str">
        <f>"9781556528354"</f>
        <v>9781556528354</v>
      </c>
      <c r="S2143" t="str">
        <f>"9781569769881"</f>
        <v>9781569769881</v>
      </c>
      <c r="T2143">
        <v>714822115</v>
      </c>
    </row>
    <row r="2144" spans="1:20" x14ac:dyDescent="0.25">
      <c r="A2144">
        <v>363846</v>
      </c>
      <c r="B2144" t="s">
        <v>10513</v>
      </c>
      <c r="C2144" t="s">
        <v>10514</v>
      </c>
      <c r="D2144" t="s">
        <v>1533</v>
      </c>
      <c r="E2144" t="s">
        <v>1533</v>
      </c>
      <c r="F2144">
        <v>2011</v>
      </c>
      <c r="G2144" t="s">
        <v>10515</v>
      </c>
      <c r="H2144" t="s">
        <v>10516</v>
      </c>
      <c r="I2144" t="s">
        <v>10517</v>
      </c>
      <c r="J2144" t="s">
        <v>26</v>
      </c>
      <c r="K2144" t="s">
        <v>27</v>
      </c>
      <c r="L2144" t="b">
        <v>1</v>
      </c>
      <c r="M2144" t="s">
        <v>10518</v>
      </c>
      <c r="N2144" t="str">
        <f>"497/.28"</f>
        <v>497/.28</v>
      </c>
      <c r="O2144" t="s">
        <v>10519</v>
      </c>
      <c r="P2144" t="b">
        <v>0</v>
      </c>
      <c r="R2144" t="str">
        <f>"9789027246073"</f>
        <v>9789027246073</v>
      </c>
      <c r="S2144" t="str">
        <f>"9789027286833"</f>
        <v>9789027286833</v>
      </c>
      <c r="T2144">
        <v>717175835</v>
      </c>
    </row>
    <row r="2145" spans="1:20" x14ac:dyDescent="0.25">
      <c r="A2145">
        <v>362362</v>
      </c>
      <c r="B2145" t="s">
        <v>10520</v>
      </c>
      <c r="D2145" t="s">
        <v>226</v>
      </c>
      <c r="E2145" t="s">
        <v>226</v>
      </c>
      <c r="F2145">
        <v>2011</v>
      </c>
      <c r="G2145" t="s">
        <v>197</v>
      </c>
      <c r="H2145" t="s">
        <v>10521</v>
      </c>
      <c r="I2145" t="s">
        <v>10522</v>
      </c>
      <c r="J2145" t="s">
        <v>26</v>
      </c>
      <c r="K2145" t="s">
        <v>27</v>
      </c>
      <c r="L2145" t="b">
        <v>1</v>
      </c>
      <c r="M2145" t="s">
        <v>10523</v>
      </c>
      <c r="N2145" t="str">
        <f>"821/.0409"</f>
        <v>821/.0409</v>
      </c>
      <c r="P2145" t="b">
        <v>0</v>
      </c>
      <c r="Q2145" t="b">
        <v>0</v>
      </c>
      <c r="R2145" t="str">
        <f>"9780226780207"</f>
        <v>9780226780207</v>
      </c>
      <c r="S2145" t="str">
        <f>"9780226780221"</f>
        <v>9780226780221</v>
      </c>
      <c r="T2145">
        <v>710995103</v>
      </c>
    </row>
    <row r="2146" spans="1:20" x14ac:dyDescent="0.25">
      <c r="A2146">
        <v>361966</v>
      </c>
      <c r="B2146" t="s">
        <v>10524</v>
      </c>
      <c r="D2146" t="s">
        <v>10525</v>
      </c>
      <c r="E2146" t="s">
        <v>10526</v>
      </c>
      <c r="F2146">
        <v>2006</v>
      </c>
      <c r="G2146" t="s">
        <v>1508</v>
      </c>
      <c r="H2146" t="s">
        <v>10527</v>
      </c>
      <c r="I2146" t="s">
        <v>10528</v>
      </c>
      <c r="J2146" t="s">
        <v>26</v>
      </c>
      <c r="K2146" t="s">
        <v>27</v>
      </c>
      <c r="L2146" t="b">
        <v>1</v>
      </c>
      <c r="M2146" t="s">
        <v>10529</v>
      </c>
      <c r="N2146" t="str">
        <f>"020"</f>
        <v>020</v>
      </c>
      <c r="P2146" t="b">
        <v>0</v>
      </c>
      <c r="R2146" t="str">
        <f>"9780977861736"</f>
        <v>9780977861736</v>
      </c>
      <c r="S2146" t="str">
        <f>"9781936117284"</f>
        <v>9781936117284</v>
      </c>
      <c r="T2146">
        <v>712059596</v>
      </c>
    </row>
    <row r="2147" spans="1:20" x14ac:dyDescent="0.25">
      <c r="A2147">
        <v>361965</v>
      </c>
      <c r="B2147" t="s">
        <v>10530</v>
      </c>
      <c r="D2147" t="s">
        <v>10525</v>
      </c>
      <c r="E2147" t="s">
        <v>10526</v>
      </c>
      <c r="F2147">
        <v>2006</v>
      </c>
      <c r="G2147" t="s">
        <v>6053</v>
      </c>
      <c r="H2147" t="s">
        <v>10531</v>
      </c>
      <c r="I2147" t="s">
        <v>10532</v>
      </c>
      <c r="J2147" t="s">
        <v>26</v>
      </c>
      <c r="K2147" t="s">
        <v>27</v>
      </c>
      <c r="L2147" t="b">
        <v>1</v>
      </c>
      <c r="M2147" t="s">
        <v>10533</v>
      </c>
      <c r="N2147" t="str">
        <f>"070.5"</f>
        <v>070.5</v>
      </c>
      <c r="P2147" t="b">
        <v>0</v>
      </c>
      <c r="R2147" t="str">
        <f>"9780977861729"</f>
        <v>9780977861729</v>
      </c>
      <c r="S2147" t="str">
        <f>"9781936117222"</f>
        <v>9781936117222</v>
      </c>
      <c r="T2147">
        <v>647884541</v>
      </c>
    </row>
    <row r="2148" spans="1:20" x14ac:dyDescent="0.25">
      <c r="A2148">
        <v>361946</v>
      </c>
      <c r="B2148" t="s">
        <v>10534</v>
      </c>
      <c r="D2148" t="s">
        <v>5731</v>
      </c>
      <c r="E2148" t="s">
        <v>6240</v>
      </c>
      <c r="F2148">
        <v>2011</v>
      </c>
      <c r="G2148" t="s">
        <v>6241</v>
      </c>
      <c r="H2148" t="s">
        <v>10535</v>
      </c>
      <c r="J2148" t="s">
        <v>26</v>
      </c>
      <c r="K2148" t="s">
        <v>86</v>
      </c>
      <c r="L2148" t="b">
        <v>1</v>
      </c>
      <c r="M2148" t="s">
        <v>10536</v>
      </c>
      <c r="N2148" t="str">
        <f>"967.3/003"</f>
        <v>967.3/003</v>
      </c>
      <c r="O2148" t="s">
        <v>10537</v>
      </c>
      <c r="P2148" t="b">
        <v>0</v>
      </c>
      <c r="R2148" t="str">
        <f>"9780810871939"</f>
        <v>9780810871939</v>
      </c>
      <c r="S2148" t="str">
        <f>"9780810874589"</f>
        <v>9780810874589</v>
      </c>
      <c r="T2148">
        <v>712777842</v>
      </c>
    </row>
    <row r="2149" spans="1:20" x14ac:dyDescent="0.25">
      <c r="A2149">
        <v>360709</v>
      </c>
      <c r="B2149" t="s">
        <v>10538</v>
      </c>
      <c r="D2149" t="s">
        <v>10310</v>
      </c>
      <c r="E2149" t="s">
        <v>10310</v>
      </c>
      <c r="F2149">
        <v>2011</v>
      </c>
      <c r="G2149" t="s">
        <v>10539</v>
      </c>
      <c r="H2149" t="s">
        <v>10540</v>
      </c>
      <c r="I2149" t="s">
        <v>10541</v>
      </c>
      <c r="J2149" t="s">
        <v>26</v>
      </c>
      <c r="K2149" t="s">
        <v>27</v>
      </c>
      <c r="L2149" t="b">
        <v>1</v>
      </c>
      <c r="M2149" t="s">
        <v>10542</v>
      </c>
      <c r="N2149" t="str">
        <f>"306.76/63094609032"</f>
        <v>306.76/63094609032</v>
      </c>
      <c r="P2149" t="b">
        <v>0</v>
      </c>
      <c r="R2149" t="str">
        <f>"9780826517500"</f>
        <v>9780826517500</v>
      </c>
      <c r="S2149" t="str">
        <f>"9780826517524"</f>
        <v>9780826517524</v>
      </c>
      <c r="T2149">
        <v>719387812</v>
      </c>
    </row>
    <row r="2150" spans="1:20" x14ac:dyDescent="0.25">
      <c r="A2150">
        <v>360708</v>
      </c>
      <c r="B2150" t="s">
        <v>10543</v>
      </c>
      <c r="C2150" t="s">
        <v>10544</v>
      </c>
      <c r="D2150" t="s">
        <v>10310</v>
      </c>
      <c r="E2150" t="s">
        <v>10310</v>
      </c>
      <c r="F2150">
        <v>2011</v>
      </c>
      <c r="G2150" t="s">
        <v>2417</v>
      </c>
      <c r="H2150" t="s">
        <v>10545</v>
      </c>
      <c r="I2150" t="s">
        <v>10546</v>
      </c>
      <c r="J2150" t="s">
        <v>26</v>
      </c>
      <c r="K2150" t="s">
        <v>27</v>
      </c>
      <c r="L2150" t="b">
        <v>1</v>
      </c>
      <c r="M2150" t="s">
        <v>10547</v>
      </c>
      <c r="N2150" t="str">
        <f>"813/.509355"</f>
        <v>813/.509355</v>
      </c>
      <c r="P2150" t="b">
        <v>0</v>
      </c>
      <c r="R2150" t="str">
        <f>"9780826517562"</f>
        <v>9780826517562</v>
      </c>
      <c r="S2150" t="str">
        <f>"9780826517586"</f>
        <v>9780826517586</v>
      </c>
      <c r="T2150">
        <v>709606332</v>
      </c>
    </row>
    <row r="2151" spans="1:20" x14ac:dyDescent="0.25">
      <c r="A2151">
        <v>360707</v>
      </c>
      <c r="B2151" t="s">
        <v>10548</v>
      </c>
      <c r="C2151" t="s">
        <v>10549</v>
      </c>
      <c r="D2151" t="s">
        <v>10310</v>
      </c>
      <c r="E2151" t="s">
        <v>10310</v>
      </c>
      <c r="F2151">
        <v>2011</v>
      </c>
      <c r="G2151" t="s">
        <v>1561</v>
      </c>
      <c r="H2151" t="s">
        <v>10550</v>
      </c>
      <c r="I2151" t="s">
        <v>10551</v>
      </c>
      <c r="J2151" t="s">
        <v>26</v>
      </c>
      <c r="K2151" t="s">
        <v>27</v>
      </c>
      <c r="L2151" t="b">
        <v>1</v>
      </c>
      <c r="M2151" t="s">
        <v>10552</v>
      </c>
      <c r="N2151" t="str">
        <f>"304.8"</f>
        <v>304.8</v>
      </c>
      <c r="P2151" t="b">
        <v>0</v>
      </c>
      <c r="R2151" t="str">
        <f>"9780826517470"</f>
        <v>9780826517470</v>
      </c>
      <c r="S2151" t="str">
        <f>"9780826517494"</f>
        <v>9780826517494</v>
      </c>
      <c r="T2151">
        <v>709606111</v>
      </c>
    </row>
    <row r="2152" spans="1:20" x14ac:dyDescent="0.25">
      <c r="A2152">
        <v>360706</v>
      </c>
      <c r="B2152" t="s">
        <v>10553</v>
      </c>
      <c r="C2152" t="s">
        <v>10554</v>
      </c>
      <c r="D2152" t="s">
        <v>10310</v>
      </c>
      <c r="E2152" t="s">
        <v>10310</v>
      </c>
      <c r="F2152">
        <v>2011</v>
      </c>
      <c r="G2152" t="s">
        <v>4984</v>
      </c>
      <c r="H2152" t="s">
        <v>10555</v>
      </c>
      <c r="I2152" t="s">
        <v>10556</v>
      </c>
      <c r="J2152" t="s">
        <v>26</v>
      </c>
      <c r="K2152" t="s">
        <v>27</v>
      </c>
      <c r="L2152" t="b">
        <v>1</v>
      </c>
      <c r="M2152" t="s">
        <v>10557</v>
      </c>
      <c r="N2152" t="str">
        <f>"271/.5308"</f>
        <v>271/.5308</v>
      </c>
      <c r="P2152" t="b">
        <v>0</v>
      </c>
      <c r="R2152" t="str">
        <f>"9780826517449"</f>
        <v>9780826517449</v>
      </c>
      <c r="S2152" t="str">
        <f>"9780826517463"</f>
        <v>9780826517463</v>
      </c>
      <c r="T2152">
        <v>719388627</v>
      </c>
    </row>
    <row r="2153" spans="1:20" x14ac:dyDescent="0.25">
      <c r="A2153">
        <v>360705</v>
      </c>
      <c r="B2153" t="s">
        <v>10558</v>
      </c>
      <c r="C2153" t="s">
        <v>10559</v>
      </c>
      <c r="D2153" t="s">
        <v>10310</v>
      </c>
      <c r="E2153" t="s">
        <v>10310</v>
      </c>
      <c r="F2153">
        <v>2010</v>
      </c>
      <c r="G2153" t="s">
        <v>804</v>
      </c>
      <c r="H2153" t="s">
        <v>10560</v>
      </c>
      <c r="I2153" t="s">
        <v>10561</v>
      </c>
      <c r="J2153" t="s">
        <v>26</v>
      </c>
      <c r="K2153" t="s">
        <v>27</v>
      </c>
      <c r="L2153" t="b">
        <v>1</v>
      </c>
      <c r="M2153" t="s">
        <v>10562</v>
      </c>
      <c r="N2153" t="str">
        <f>"306.0973"</f>
        <v>306.0973</v>
      </c>
      <c r="P2153" t="b">
        <v>0</v>
      </c>
      <c r="R2153" t="str">
        <f>"9780826517418"</f>
        <v>9780826517418</v>
      </c>
      <c r="S2153" t="str">
        <f>"9780826517432"</f>
        <v>9780826517432</v>
      </c>
      <c r="T2153">
        <v>709606800</v>
      </c>
    </row>
    <row r="2154" spans="1:20" x14ac:dyDescent="0.25">
      <c r="A2154">
        <v>360704</v>
      </c>
      <c r="B2154" t="s">
        <v>10563</v>
      </c>
      <c r="D2154" t="s">
        <v>10310</v>
      </c>
      <c r="E2154" t="s">
        <v>10310</v>
      </c>
      <c r="F2154">
        <v>2010</v>
      </c>
      <c r="G2154" t="s">
        <v>10564</v>
      </c>
      <c r="H2154" t="s">
        <v>10565</v>
      </c>
      <c r="I2154" t="s">
        <v>10566</v>
      </c>
      <c r="J2154" t="s">
        <v>26</v>
      </c>
      <c r="K2154" t="s">
        <v>27</v>
      </c>
      <c r="L2154" t="b">
        <v>1</v>
      </c>
      <c r="M2154" t="s">
        <v>10567</v>
      </c>
      <c r="N2154" t="str">
        <f>"323/.042"</f>
        <v>323/.042</v>
      </c>
      <c r="P2154" t="b">
        <v>0</v>
      </c>
      <c r="R2154" t="str">
        <f>"9780826517388"</f>
        <v>9780826517388</v>
      </c>
      <c r="S2154" t="str">
        <f>"9780826517401"</f>
        <v>9780826517401</v>
      </c>
      <c r="T2154">
        <v>709606801</v>
      </c>
    </row>
    <row r="2155" spans="1:20" x14ac:dyDescent="0.25">
      <c r="A2155">
        <v>360701</v>
      </c>
      <c r="B2155" t="s">
        <v>10568</v>
      </c>
      <c r="D2155" t="s">
        <v>10310</v>
      </c>
      <c r="E2155" t="s">
        <v>10310</v>
      </c>
      <c r="F2155">
        <v>2010</v>
      </c>
      <c r="G2155" t="s">
        <v>4304</v>
      </c>
      <c r="H2155" t="s">
        <v>10569</v>
      </c>
      <c r="I2155" t="s">
        <v>10570</v>
      </c>
      <c r="J2155" t="s">
        <v>26</v>
      </c>
      <c r="K2155" t="s">
        <v>27</v>
      </c>
      <c r="L2155" t="b">
        <v>1</v>
      </c>
      <c r="M2155" t="s">
        <v>10571</v>
      </c>
      <c r="N2155" t="str">
        <f>"362.1"</f>
        <v>362.1</v>
      </c>
      <c r="P2155" t="b">
        <v>0</v>
      </c>
      <c r="R2155" t="str">
        <f>"9780826517203"</f>
        <v>9780826517203</v>
      </c>
      <c r="S2155" t="str">
        <f>"9780826517227"</f>
        <v>9780826517227</v>
      </c>
      <c r="T2155">
        <v>719387793</v>
      </c>
    </row>
    <row r="2156" spans="1:20" x14ac:dyDescent="0.25">
      <c r="A2156">
        <v>360700</v>
      </c>
      <c r="B2156" t="s">
        <v>10572</v>
      </c>
      <c r="C2156" t="s">
        <v>10573</v>
      </c>
      <c r="D2156" t="s">
        <v>10310</v>
      </c>
      <c r="E2156" t="s">
        <v>10310</v>
      </c>
      <c r="F2156">
        <v>2010</v>
      </c>
      <c r="G2156" t="s">
        <v>10574</v>
      </c>
      <c r="H2156" t="s">
        <v>10575</v>
      </c>
      <c r="I2156" t="s">
        <v>10576</v>
      </c>
      <c r="J2156" t="s">
        <v>26</v>
      </c>
      <c r="K2156" t="s">
        <v>27</v>
      </c>
      <c r="L2156" t="b">
        <v>1</v>
      </c>
      <c r="M2156" t="s">
        <v>10577</v>
      </c>
      <c r="N2156" t="str">
        <f>"362.19/88802"</f>
        <v>362.19/88802</v>
      </c>
      <c r="P2156" t="b">
        <v>0</v>
      </c>
      <c r="R2156" t="str">
        <f>"9780826517142"</f>
        <v>9780826517142</v>
      </c>
      <c r="S2156" t="str">
        <f>"9780826517166"</f>
        <v>9780826517166</v>
      </c>
      <c r="T2156">
        <v>709606130</v>
      </c>
    </row>
    <row r="2157" spans="1:20" x14ac:dyDescent="0.25">
      <c r="A2157">
        <v>360699</v>
      </c>
      <c r="B2157" t="s">
        <v>10578</v>
      </c>
      <c r="C2157" t="s">
        <v>10579</v>
      </c>
      <c r="D2157" t="s">
        <v>10310</v>
      </c>
      <c r="E2157" t="s">
        <v>10310</v>
      </c>
      <c r="F2157">
        <v>2010</v>
      </c>
      <c r="G2157" t="s">
        <v>257</v>
      </c>
      <c r="H2157" t="s">
        <v>10580</v>
      </c>
      <c r="I2157" t="s">
        <v>10581</v>
      </c>
      <c r="J2157" t="s">
        <v>26</v>
      </c>
      <c r="K2157" t="s">
        <v>27</v>
      </c>
      <c r="L2157" t="b">
        <v>1</v>
      </c>
      <c r="M2157" t="s">
        <v>10582</v>
      </c>
      <c r="N2157" t="str">
        <f>"364.360973"</f>
        <v>364.360973</v>
      </c>
      <c r="P2157" t="b">
        <v>0</v>
      </c>
      <c r="R2157" t="str">
        <f>"9780826517111"</f>
        <v>9780826517111</v>
      </c>
      <c r="S2157" t="str">
        <f>"9780826517135"</f>
        <v>9780826517135</v>
      </c>
      <c r="T2157">
        <v>709606331</v>
      </c>
    </row>
    <row r="2158" spans="1:20" x14ac:dyDescent="0.25">
      <c r="A2158">
        <v>360698</v>
      </c>
      <c r="B2158" t="s">
        <v>10583</v>
      </c>
      <c r="C2158" t="s">
        <v>10584</v>
      </c>
      <c r="D2158" t="s">
        <v>10310</v>
      </c>
      <c r="E2158" t="s">
        <v>10310</v>
      </c>
      <c r="F2158">
        <v>2010</v>
      </c>
      <c r="G2158" t="s">
        <v>9938</v>
      </c>
      <c r="H2158" t="s">
        <v>10585</v>
      </c>
      <c r="I2158" t="s">
        <v>10586</v>
      </c>
      <c r="J2158" t="s">
        <v>26</v>
      </c>
      <c r="K2158" t="s">
        <v>27</v>
      </c>
      <c r="L2158" t="b">
        <v>1</v>
      </c>
      <c r="M2158" t="s">
        <v>10587</v>
      </c>
      <c r="N2158" t="str">
        <f>"362.196/835"</f>
        <v>362.196/835</v>
      </c>
      <c r="P2158" t="b">
        <v>0</v>
      </c>
      <c r="R2158" t="str">
        <f>"9780826517081"</f>
        <v>9780826517081</v>
      </c>
      <c r="S2158" t="str">
        <f>"9780826517104"</f>
        <v>9780826517104</v>
      </c>
      <c r="T2158">
        <v>709606792</v>
      </c>
    </row>
    <row r="2159" spans="1:20" x14ac:dyDescent="0.25">
      <c r="A2159">
        <v>360696</v>
      </c>
      <c r="B2159" t="s">
        <v>10588</v>
      </c>
      <c r="C2159" t="s">
        <v>10589</v>
      </c>
      <c r="D2159" t="s">
        <v>10310</v>
      </c>
      <c r="E2159" t="s">
        <v>10310</v>
      </c>
      <c r="F2159">
        <v>2010</v>
      </c>
      <c r="G2159" t="s">
        <v>10590</v>
      </c>
      <c r="H2159" t="s">
        <v>10591</v>
      </c>
      <c r="I2159" t="s">
        <v>10592</v>
      </c>
      <c r="J2159" t="s">
        <v>26</v>
      </c>
      <c r="K2159" t="s">
        <v>27</v>
      </c>
      <c r="L2159" t="b">
        <v>1</v>
      </c>
      <c r="M2159" t="s">
        <v>10593</v>
      </c>
      <c r="N2159" t="str">
        <f>"328.73/078"</f>
        <v>328.73/078</v>
      </c>
      <c r="P2159" t="b">
        <v>0</v>
      </c>
      <c r="R2159" t="str">
        <f>"9780826517029"</f>
        <v>9780826517029</v>
      </c>
      <c r="S2159" t="str">
        <f>"9780826517043"</f>
        <v>9780826517043</v>
      </c>
      <c r="T2159">
        <v>709606796</v>
      </c>
    </row>
    <row r="2160" spans="1:20" x14ac:dyDescent="0.25">
      <c r="A2160">
        <v>360695</v>
      </c>
      <c r="B2160" t="s">
        <v>10594</v>
      </c>
      <c r="C2160" t="s">
        <v>10595</v>
      </c>
      <c r="D2160" t="s">
        <v>10310</v>
      </c>
      <c r="E2160" t="s">
        <v>10310</v>
      </c>
      <c r="F2160">
        <v>2010</v>
      </c>
      <c r="G2160" t="s">
        <v>10596</v>
      </c>
      <c r="H2160" t="s">
        <v>10597</v>
      </c>
      <c r="I2160" t="s">
        <v>10598</v>
      </c>
      <c r="J2160" t="s">
        <v>26</v>
      </c>
      <c r="K2160" t="s">
        <v>27</v>
      </c>
      <c r="L2160" t="b">
        <v>1</v>
      </c>
      <c r="M2160" t="s">
        <v>10599</v>
      </c>
      <c r="N2160" t="str">
        <f>"362.5/8409747277"</f>
        <v>362.5/8409747277</v>
      </c>
      <c r="P2160" t="b">
        <v>0</v>
      </c>
      <c r="R2160" t="str">
        <f>"9780826516992"</f>
        <v>9780826516992</v>
      </c>
      <c r="S2160" t="str">
        <f>"9780826517012"</f>
        <v>9780826517012</v>
      </c>
      <c r="T2160">
        <v>709606126</v>
      </c>
    </row>
    <row r="2161" spans="1:20" x14ac:dyDescent="0.25">
      <c r="A2161">
        <v>360694</v>
      </c>
      <c r="B2161" t="s">
        <v>10600</v>
      </c>
      <c r="C2161" t="s">
        <v>10601</v>
      </c>
      <c r="D2161" t="s">
        <v>10310</v>
      </c>
      <c r="E2161" t="s">
        <v>10310</v>
      </c>
      <c r="F2161">
        <v>2010</v>
      </c>
      <c r="G2161" t="s">
        <v>2556</v>
      </c>
      <c r="H2161" t="s">
        <v>10602</v>
      </c>
      <c r="I2161" t="s">
        <v>10603</v>
      </c>
      <c r="J2161" t="s">
        <v>26</v>
      </c>
      <c r="K2161" t="s">
        <v>27</v>
      </c>
      <c r="L2161" t="b">
        <v>1</v>
      </c>
      <c r="M2161" t="s">
        <v>10604</v>
      </c>
      <c r="N2161" t="str">
        <f>"305.809/076209045"</f>
        <v>305.809/076209045</v>
      </c>
      <c r="P2161" t="b">
        <v>0</v>
      </c>
      <c r="R2161" t="str">
        <f>"9780826516855"</f>
        <v>9780826516855</v>
      </c>
      <c r="S2161" t="str">
        <f>"9780826516879"</f>
        <v>9780826516879</v>
      </c>
      <c r="T2161">
        <v>709606132</v>
      </c>
    </row>
    <row r="2162" spans="1:20" x14ac:dyDescent="0.25">
      <c r="A2162">
        <v>360693</v>
      </c>
      <c r="B2162" t="s">
        <v>10605</v>
      </c>
      <c r="C2162" t="s">
        <v>10606</v>
      </c>
      <c r="D2162" t="s">
        <v>10310</v>
      </c>
      <c r="E2162" t="s">
        <v>10310</v>
      </c>
      <c r="F2162">
        <v>2009</v>
      </c>
      <c r="G2162" t="s">
        <v>5257</v>
      </c>
      <c r="H2162" t="s">
        <v>10607</v>
      </c>
      <c r="I2162" t="s">
        <v>10608</v>
      </c>
      <c r="J2162" t="s">
        <v>26</v>
      </c>
      <c r="K2162" t="s">
        <v>27</v>
      </c>
      <c r="L2162" t="b">
        <v>1</v>
      </c>
      <c r="M2162" t="s">
        <v>10609</v>
      </c>
      <c r="N2162" t="str">
        <f>"860.9/98"</f>
        <v>860.9/98</v>
      </c>
      <c r="P2162" t="b">
        <v>0</v>
      </c>
      <c r="R2162" t="str">
        <f>"9780826516770"</f>
        <v>9780826516770</v>
      </c>
      <c r="S2162" t="str">
        <f>"9780826516794"</f>
        <v>9780826516794</v>
      </c>
      <c r="T2162">
        <v>721957091</v>
      </c>
    </row>
    <row r="2163" spans="1:20" x14ac:dyDescent="0.25">
      <c r="A2163">
        <v>360692</v>
      </c>
      <c r="B2163" t="s">
        <v>10610</v>
      </c>
      <c r="C2163" t="s">
        <v>10611</v>
      </c>
      <c r="D2163" t="s">
        <v>10310</v>
      </c>
      <c r="E2163" t="s">
        <v>10310</v>
      </c>
      <c r="F2163">
        <v>2007</v>
      </c>
      <c r="G2163" t="s">
        <v>9170</v>
      </c>
      <c r="H2163" t="s">
        <v>10612</v>
      </c>
      <c r="I2163" t="s">
        <v>10613</v>
      </c>
      <c r="J2163" t="s">
        <v>26</v>
      </c>
      <c r="K2163" t="s">
        <v>27</v>
      </c>
      <c r="L2163" t="b">
        <v>1</v>
      </c>
      <c r="M2163" t="s">
        <v>10614</v>
      </c>
      <c r="N2163" t="str">
        <f>"362.160973"</f>
        <v>362.160973</v>
      </c>
      <c r="P2163" t="b">
        <v>0</v>
      </c>
      <c r="R2163" t="str">
        <f>"9780826515629"</f>
        <v>9780826515629</v>
      </c>
      <c r="S2163" t="str">
        <f>"9780826592286"</f>
        <v>9780826592286</v>
      </c>
      <c r="T2163">
        <v>709606323</v>
      </c>
    </row>
    <row r="2164" spans="1:20" x14ac:dyDescent="0.25">
      <c r="A2164">
        <v>360691</v>
      </c>
      <c r="B2164" t="s">
        <v>10615</v>
      </c>
      <c r="C2164" t="s">
        <v>10616</v>
      </c>
      <c r="D2164" t="s">
        <v>10310</v>
      </c>
      <c r="E2164" t="s">
        <v>10310</v>
      </c>
      <c r="F2164">
        <v>2007</v>
      </c>
      <c r="G2164" t="s">
        <v>7876</v>
      </c>
      <c r="H2164" t="s">
        <v>10617</v>
      </c>
      <c r="I2164" t="s">
        <v>10618</v>
      </c>
      <c r="J2164" t="s">
        <v>26</v>
      </c>
      <c r="K2164" t="s">
        <v>27</v>
      </c>
      <c r="L2164" t="b">
        <v>1</v>
      </c>
      <c r="M2164" t="s">
        <v>10619</v>
      </c>
      <c r="N2164" t="str">
        <f>"261.8/3272088282"</f>
        <v>261.8/3272088282</v>
      </c>
      <c r="P2164" t="b">
        <v>0</v>
      </c>
      <c r="R2164" t="str">
        <f>"9780826515469"</f>
        <v>9780826515469</v>
      </c>
      <c r="S2164" t="str">
        <f>"9780826592224"</f>
        <v>9780826592224</v>
      </c>
      <c r="T2164">
        <v>709606328</v>
      </c>
    </row>
    <row r="2165" spans="1:20" x14ac:dyDescent="0.25">
      <c r="A2165">
        <v>360272</v>
      </c>
      <c r="B2165" t="s">
        <v>10620</v>
      </c>
      <c r="C2165" t="s">
        <v>10621</v>
      </c>
      <c r="D2165" t="s">
        <v>10622</v>
      </c>
      <c r="E2165" t="s">
        <v>10623</v>
      </c>
      <c r="F2165">
        <v>2007</v>
      </c>
      <c r="G2165" t="s">
        <v>4477</v>
      </c>
      <c r="H2165" t="s">
        <v>10624</v>
      </c>
      <c r="I2165" t="s">
        <v>10625</v>
      </c>
      <c r="J2165" t="s">
        <v>26</v>
      </c>
      <c r="K2165" t="s">
        <v>27</v>
      </c>
      <c r="L2165" t="b">
        <v>1</v>
      </c>
      <c r="M2165" t="s">
        <v>10626</v>
      </c>
      <c r="N2165" t="str">
        <f>"261.7088/282"</f>
        <v>261.7088/282</v>
      </c>
      <c r="P2165" t="b">
        <v>0</v>
      </c>
      <c r="Q2165" t="b">
        <v>0</v>
      </c>
      <c r="R2165" t="str">
        <f>"9780813215037"</f>
        <v>9780813215037</v>
      </c>
      <c r="S2165" t="str">
        <f>"9780813216973"</f>
        <v>9780813216973</v>
      </c>
      <c r="T2165">
        <v>714799383</v>
      </c>
    </row>
    <row r="2166" spans="1:20" x14ac:dyDescent="0.25">
      <c r="A2166">
        <v>359578</v>
      </c>
      <c r="B2166" t="s">
        <v>10627</v>
      </c>
      <c r="C2166" t="s">
        <v>10628</v>
      </c>
      <c r="D2166" t="s">
        <v>123</v>
      </c>
      <c r="E2166" t="s">
        <v>10629</v>
      </c>
      <c r="F2166">
        <v>2010</v>
      </c>
      <c r="G2166" t="s">
        <v>10630</v>
      </c>
      <c r="H2166" t="s">
        <v>10631</v>
      </c>
      <c r="I2166" t="s">
        <v>10632</v>
      </c>
      <c r="J2166" t="s">
        <v>26</v>
      </c>
      <c r="K2166" t="s">
        <v>48</v>
      </c>
      <c r="L2166" t="b">
        <v>1</v>
      </c>
      <c r="M2166" t="s">
        <v>10633</v>
      </c>
      <c r="N2166" t="str">
        <f>"153.6"</f>
        <v>153.6</v>
      </c>
      <c r="P2166" t="b">
        <v>0</v>
      </c>
      <c r="R2166" t="str">
        <f>"9781844091942"</f>
        <v>9781844091942</v>
      </c>
      <c r="S2166" t="str">
        <f>"9781844093625"</f>
        <v>9781844093625</v>
      </c>
      <c r="T2166">
        <v>713877677</v>
      </c>
    </row>
    <row r="2167" spans="1:20" x14ac:dyDescent="0.25">
      <c r="A2167">
        <v>359028</v>
      </c>
      <c r="B2167" t="s">
        <v>10634</v>
      </c>
      <c r="C2167" t="s">
        <v>10635</v>
      </c>
      <c r="D2167" t="s">
        <v>2269</v>
      </c>
      <c r="E2167" t="s">
        <v>2269</v>
      </c>
      <c r="F2167">
        <v>2009</v>
      </c>
      <c r="G2167" t="s">
        <v>8882</v>
      </c>
      <c r="H2167" t="s">
        <v>10636</v>
      </c>
      <c r="I2167" t="s">
        <v>10637</v>
      </c>
      <c r="J2167" t="s">
        <v>26</v>
      </c>
      <c r="K2167" t="s">
        <v>27</v>
      </c>
      <c r="L2167" t="b">
        <v>1</v>
      </c>
      <c r="M2167" t="s">
        <v>10638</v>
      </c>
      <c r="N2167" t="str">
        <f>"363.820973"</f>
        <v>363.820973</v>
      </c>
      <c r="O2167" t="s">
        <v>10639</v>
      </c>
      <c r="P2167" t="b">
        <v>0</v>
      </c>
      <c r="Q2167" t="b">
        <v>0</v>
      </c>
      <c r="R2167" t="str">
        <f>"9781606928035"</f>
        <v>9781606928035</v>
      </c>
      <c r="S2167" t="str">
        <f>"9781613244432"</f>
        <v>9781613244432</v>
      </c>
      <c r="T2167">
        <v>722011188</v>
      </c>
    </row>
    <row r="2168" spans="1:20" x14ac:dyDescent="0.25">
      <c r="A2168">
        <v>359025</v>
      </c>
      <c r="B2168" t="s">
        <v>10640</v>
      </c>
      <c r="C2168" t="s">
        <v>10641</v>
      </c>
      <c r="D2168" t="s">
        <v>2269</v>
      </c>
      <c r="E2168" t="s">
        <v>2269</v>
      </c>
      <c r="F2168">
        <v>2009</v>
      </c>
      <c r="G2168" t="s">
        <v>8789</v>
      </c>
      <c r="H2168" t="s">
        <v>10642</v>
      </c>
      <c r="I2168" t="s">
        <v>10643</v>
      </c>
      <c r="J2168" t="s">
        <v>26</v>
      </c>
      <c r="K2168" t="s">
        <v>27</v>
      </c>
      <c r="L2168" t="b">
        <v>1</v>
      </c>
      <c r="M2168" t="s">
        <v>10644</v>
      </c>
      <c r="N2168" t="str">
        <f>"616.89"</f>
        <v>616.89</v>
      </c>
      <c r="O2168" t="s">
        <v>10645</v>
      </c>
      <c r="P2168" t="b">
        <v>0</v>
      </c>
      <c r="Q2168" t="b">
        <v>0</v>
      </c>
      <c r="R2168" t="str">
        <f>"9781607414773"</f>
        <v>9781607414773</v>
      </c>
      <c r="S2168" t="str">
        <f>"9781613244401"</f>
        <v>9781613244401</v>
      </c>
      <c r="T2168">
        <v>723249532</v>
      </c>
    </row>
    <row r="2169" spans="1:20" x14ac:dyDescent="0.25">
      <c r="A2169">
        <v>359020</v>
      </c>
      <c r="B2169" t="s">
        <v>10646</v>
      </c>
      <c r="C2169" t="s">
        <v>10647</v>
      </c>
      <c r="D2169" t="s">
        <v>2269</v>
      </c>
      <c r="E2169" t="s">
        <v>2269</v>
      </c>
      <c r="F2169">
        <v>2009</v>
      </c>
      <c r="G2169" t="s">
        <v>10648</v>
      </c>
      <c r="H2169" t="s">
        <v>10649</v>
      </c>
      <c r="I2169" t="s">
        <v>10650</v>
      </c>
      <c r="J2169" t="s">
        <v>26</v>
      </c>
      <c r="K2169" t="s">
        <v>27</v>
      </c>
      <c r="L2169" t="b">
        <v>1</v>
      </c>
      <c r="M2169" t="s">
        <v>10651</v>
      </c>
      <c r="N2169" t="str">
        <f>"613.7/1"</f>
        <v>613.7/1</v>
      </c>
      <c r="O2169" t="s">
        <v>10652</v>
      </c>
      <c r="P2169" t="b">
        <v>0</v>
      </c>
      <c r="Q2169" t="b">
        <v>0</v>
      </c>
      <c r="R2169" t="str">
        <f>"9781608763641"</f>
        <v>9781608763641</v>
      </c>
      <c r="S2169" t="str">
        <f>"9781613244357"</f>
        <v>9781613244357</v>
      </c>
      <c r="T2169">
        <v>723241611</v>
      </c>
    </row>
    <row r="2170" spans="1:20" x14ac:dyDescent="0.25">
      <c r="A2170">
        <v>358957</v>
      </c>
      <c r="B2170" t="s">
        <v>10653</v>
      </c>
      <c r="D2170" t="s">
        <v>226</v>
      </c>
      <c r="E2170" t="s">
        <v>226</v>
      </c>
      <c r="F2170">
        <v>1983</v>
      </c>
      <c r="G2170" t="s">
        <v>2949</v>
      </c>
      <c r="H2170" t="s">
        <v>10654</v>
      </c>
      <c r="I2170" t="s">
        <v>10655</v>
      </c>
      <c r="J2170" t="s">
        <v>26</v>
      </c>
      <c r="K2170" t="s">
        <v>27</v>
      </c>
      <c r="L2170" t="b">
        <v>1</v>
      </c>
      <c r="M2170" t="s">
        <v>10656</v>
      </c>
      <c r="N2170" t="str">
        <f>"591.22"</f>
        <v>591.22</v>
      </c>
      <c r="P2170" t="b">
        <v>0</v>
      </c>
      <c r="Q2170" t="b">
        <v>0</v>
      </c>
      <c r="R2170" t="str">
        <f>"9780226645636"</f>
        <v>9780226645636</v>
      </c>
      <c r="S2170" t="str">
        <f>"9780226645612"</f>
        <v>9780226645612</v>
      </c>
      <c r="T2170">
        <v>711000620</v>
      </c>
    </row>
    <row r="2171" spans="1:20" x14ac:dyDescent="0.25">
      <c r="A2171">
        <v>358110</v>
      </c>
      <c r="B2171" t="s">
        <v>10657</v>
      </c>
      <c r="D2171" t="s">
        <v>2269</v>
      </c>
      <c r="E2171" t="s">
        <v>2269</v>
      </c>
      <c r="F2171">
        <v>2009</v>
      </c>
      <c r="G2171" t="s">
        <v>9553</v>
      </c>
      <c r="H2171" t="s">
        <v>10658</v>
      </c>
      <c r="I2171" t="s">
        <v>10659</v>
      </c>
      <c r="J2171" t="s">
        <v>26</v>
      </c>
      <c r="K2171" t="s">
        <v>27</v>
      </c>
      <c r="L2171" t="b">
        <v>1</v>
      </c>
      <c r="M2171" t="s">
        <v>10660</v>
      </c>
      <c r="N2171" t="str">
        <f>"620.1/92"</f>
        <v>620.1/92</v>
      </c>
      <c r="P2171" t="b">
        <v>0</v>
      </c>
      <c r="Q2171" t="b">
        <v>0</v>
      </c>
      <c r="R2171" t="str">
        <f>"9781594542749"</f>
        <v>9781594542749</v>
      </c>
      <c r="S2171" t="str">
        <f>"9781613241998"</f>
        <v>9781613241998</v>
      </c>
      <c r="T2171">
        <v>705944508</v>
      </c>
    </row>
    <row r="2172" spans="1:20" x14ac:dyDescent="0.25">
      <c r="A2172">
        <v>358106</v>
      </c>
      <c r="B2172" t="s">
        <v>10661</v>
      </c>
      <c r="C2172" t="s">
        <v>10662</v>
      </c>
      <c r="D2172" t="s">
        <v>2269</v>
      </c>
      <c r="E2172" t="s">
        <v>2269</v>
      </c>
      <c r="F2172">
        <v>2009</v>
      </c>
      <c r="G2172" t="s">
        <v>9802</v>
      </c>
      <c r="H2172" t="s">
        <v>10663</v>
      </c>
      <c r="I2172" t="s">
        <v>10664</v>
      </c>
      <c r="J2172" t="s">
        <v>26</v>
      </c>
      <c r="K2172" t="s">
        <v>27</v>
      </c>
      <c r="L2172" t="b">
        <v>1</v>
      </c>
      <c r="M2172" t="s">
        <v>10665</v>
      </c>
      <c r="N2172" t="str">
        <f>"612.8/2"</f>
        <v>612.8/2</v>
      </c>
      <c r="O2172" t="s">
        <v>10666</v>
      </c>
      <c r="P2172" t="b">
        <v>0</v>
      </c>
      <c r="Q2172" t="b">
        <v>0</v>
      </c>
      <c r="R2172" t="str">
        <f>"9781607418764"</f>
        <v>9781607418764</v>
      </c>
      <c r="S2172" t="str">
        <f>"9781613242360"</f>
        <v>9781613242360</v>
      </c>
      <c r="T2172">
        <v>705945737</v>
      </c>
    </row>
    <row r="2173" spans="1:20" x14ac:dyDescent="0.25">
      <c r="A2173">
        <v>358100</v>
      </c>
      <c r="B2173" t="s">
        <v>10667</v>
      </c>
      <c r="C2173" t="s">
        <v>10668</v>
      </c>
      <c r="D2173" t="s">
        <v>2269</v>
      </c>
      <c r="E2173" t="s">
        <v>2269</v>
      </c>
      <c r="F2173">
        <v>2009</v>
      </c>
      <c r="G2173" t="s">
        <v>2702</v>
      </c>
      <c r="H2173" t="s">
        <v>10669</v>
      </c>
      <c r="I2173" t="s">
        <v>10670</v>
      </c>
      <c r="J2173" t="s">
        <v>26</v>
      </c>
      <c r="K2173" t="s">
        <v>27</v>
      </c>
      <c r="L2173" t="b">
        <v>1</v>
      </c>
      <c r="M2173" t="s">
        <v>10671</v>
      </c>
      <c r="N2173" t="str">
        <f>"577.2/2"</f>
        <v>577.2/2</v>
      </c>
      <c r="O2173" t="s">
        <v>10672</v>
      </c>
      <c r="P2173" t="b">
        <v>0</v>
      </c>
      <c r="Q2173" t="b">
        <v>0</v>
      </c>
      <c r="R2173" t="str">
        <f>"9781608761531"</f>
        <v>9781608761531</v>
      </c>
      <c r="S2173" t="str">
        <f>"9781613242056"</f>
        <v>9781613242056</v>
      </c>
      <c r="T2173">
        <v>705945326</v>
      </c>
    </row>
    <row r="2174" spans="1:20" x14ac:dyDescent="0.25">
      <c r="A2174">
        <v>358096</v>
      </c>
      <c r="B2174" t="s">
        <v>10673</v>
      </c>
      <c r="D2174" t="s">
        <v>2269</v>
      </c>
      <c r="E2174" t="s">
        <v>2269</v>
      </c>
      <c r="F2174">
        <v>2009</v>
      </c>
      <c r="G2174" t="s">
        <v>7599</v>
      </c>
      <c r="H2174" t="s">
        <v>10674</v>
      </c>
      <c r="I2174" t="s">
        <v>10675</v>
      </c>
      <c r="J2174" t="s">
        <v>26</v>
      </c>
      <c r="K2174" t="s">
        <v>27</v>
      </c>
      <c r="L2174" t="b">
        <v>1</v>
      </c>
      <c r="M2174" t="s">
        <v>10676</v>
      </c>
      <c r="N2174" t="str">
        <f>"618.92/398"</f>
        <v>618.92/398</v>
      </c>
      <c r="P2174" t="b">
        <v>0</v>
      </c>
      <c r="Q2174" t="b">
        <v>0</v>
      </c>
      <c r="R2174" t="str">
        <f>"9781606921968"</f>
        <v>9781606921968</v>
      </c>
      <c r="S2174" t="str">
        <f>"9781613241974"</f>
        <v>9781613241974</v>
      </c>
      <c r="T2174">
        <v>705944530</v>
      </c>
    </row>
    <row r="2175" spans="1:20" x14ac:dyDescent="0.25">
      <c r="A2175">
        <v>358087</v>
      </c>
      <c r="B2175" t="s">
        <v>10677</v>
      </c>
      <c r="C2175" t="s">
        <v>10678</v>
      </c>
      <c r="D2175" t="s">
        <v>2269</v>
      </c>
      <c r="E2175" t="s">
        <v>2269</v>
      </c>
      <c r="F2175">
        <v>2009</v>
      </c>
      <c r="G2175" t="s">
        <v>7945</v>
      </c>
      <c r="H2175" t="s">
        <v>10679</v>
      </c>
      <c r="I2175" t="s">
        <v>10680</v>
      </c>
      <c r="J2175" t="s">
        <v>26</v>
      </c>
      <c r="K2175" t="s">
        <v>27</v>
      </c>
      <c r="L2175" t="b">
        <v>1</v>
      </c>
      <c r="M2175" t="s">
        <v>10681</v>
      </c>
      <c r="N2175" t="str">
        <f>"510"</f>
        <v>510</v>
      </c>
      <c r="P2175" t="b">
        <v>0</v>
      </c>
      <c r="Q2175" t="b">
        <v>0</v>
      </c>
      <c r="R2175" t="str">
        <f>"9781604569209"</f>
        <v>9781604569209</v>
      </c>
      <c r="S2175" t="str">
        <f>"9781613241868"</f>
        <v>9781613241868</v>
      </c>
      <c r="T2175">
        <v>711000604</v>
      </c>
    </row>
    <row r="2176" spans="1:20" x14ac:dyDescent="0.25">
      <c r="A2176">
        <v>358086</v>
      </c>
      <c r="B2176" t="s">
        <v>10682</v>
      </c>
      <c r="D2176" t="s">
        <v>2269</v>
      </c>
      <c r="E2176" t="s">
        <v>2269</v>
      </c>
      <c r="F2176">
        <v>2009</v>
      </c>
      <c r="G2176" t="s">
        <v>10683</v>
      </c>
      <c r="H2176" t="s">
        <v>10684</v>
      </c>
      <c r="I2176" t="s">
        <v>10685</v>
      </c>
      <c r="J2176" t="s">
        <v>26</v>
      </c>
      <c r="K2176" t="s">
        <v>27</v>
      </c>
      <c r="L2176" t="b">
        <v>1</v>
      </c>
      <c r="M2176" t="s">
        <v>10686</v>
      </c>
      <c r="N2176" t="str">
        <f>"512/.482"</f>
        <v>512/.482</v>
      </c>
      <c r="P2176" t="b">
        <v>0</v>
      </c>
      <c r="Q2176" t="b">
        <v>0</v>
      </c>
      <c r="R2176" t="str">
        <f>"9781604564976"</f>
        <v>9781604564976</v>
      </c>
      <c r="S2176" t="str">
        <f>"9781613241851"</f>
        <v>9781613241851</v>
      </c>
      <c r="T2176">
        <v>705945452</v>
      </c>
    </row>
    <row r="2177" spans="1:20" x14ac:dyDescent="0.25">
      <c r="A2177">
        <v>357999</v>
      </c>
      <c r="B2177" t="s">
        <v>10687</v>
      </c>
      <c r="C2177" t="s">
        <v>10688</v>
      </c>
      <c r="D2177" t="s">
        <v>2269</v>
      </c>
      <c r="E2177" t="s">
        <v>2269</v>
      </c>
      <c r="F2177">
        <v>2009</v>
      </c>
      <c r="G2177" t="s">
        <v>10689</v>
      </c>
      <c r="H2177" t="s">
        <v>10690</v>
      </c>
      <c r="I2177" t="s">
        <v>10691</v>
      </c>
      <c r="J2177" t="s">
        <v>26</v>
      </c>
      <c r="K2177" t="s">
        <v>27</v>
      </c>
      <c r="L2177" t="b">
        <v>1</v>
      </c>
      <c r="M2177" t="s">
        <v>10692</v>
      </c>
      <c r="N2177" t="str">
        <f>"338.4/76151"</f>
        <v>338.4/76151</v>
      </c>
      <c r="O2177" t="s">
        <v>10693</v>
      </c>
      <c r="P2177" t="b">
        <v>0</v>
      </c>
      <c r="Q2177" t="b">
        <v>0</v>
      </c>
      <c r="R2177" t="str">
        <f>"9781606928431"</f>
        <v>9781606928431</v>
      </c>
      <c r="S2177" t="str">
        <f>"9781613243725"</f>
        <v>9781613243725</v>
      </c>
      <c r="T2177">
        <v>705945748</v>
      </c>
    </row>
    <row r="2178" spans="1:20" x14ac:dyDescent="0.25">
      <c r="A2178">
        <v>357370</v>
      </c>
      <c r="B2178" t="s">
        <v>10694</v>
      </c>
      <c r="D2178" t="s">
        <v>2269</v>
      </c>
      <c r="E2178" t="s">
        <v>2269</v>
      </c>
      <c r="F2178">
        <v>2009</v>
      </c>
      <c r="G2178" t="s">
        <v>10695</v>
      </c>
      <c r="H2178" t="s">
        <v>10696</v>
      </c>
      <c r="I2178" t="s">
        <v>10697</v>
      </c>
      <c r="J2178" t="s">
        <v>26</v>
      </c>
      <c r="K2178" t="s">
        <v>27</v>
      </c>
      <c r="L2178" t="b">
        <v>1</v>
      </c>
      <c r="M2178" t="s">
        <v>10698</v>
      </c>
      <c r="N2178" t="str">
        <f>"333.793/2"</f>
        <v>333.793/2</v>
      </c>
      <c r="P2178" t="b">
        <v>0</v>
      </c>
      <c r="Q2178" t="b">
        <v>0</v>
      </c>
      <c r="R2178" t="str">
        <f>"9781607411536"</f>
        <v>9781607411536</v>
      </c>
      <c r="S2178" t="str">
        <f>"9781613241394"</f>
        <v>9781613241394</v>
      </c>
      <c r="T2178">
        <v>704275487</v>
      </c>
    </row>
    <row r="2179" spans="1:20" x14ac:dyDescent="0.25">
      <c r="A2179">
        <v>357369</v>
      </c>
      <c r="B2179" t="s">
        <v>10699</v>
      </c>
      <c r="C2179" t="s">
        <v>10700</v>
      </c>
      <c r="D2179" t="s">
        <v>2269</v>
      </c>
      <c r="E2179" t="s">
        <v>2269</v>
      </c>
      <c r="F2179">
        <v>2009</v>
      </c>
      <c r="G2179" t="s">
        <v>2156</v>
      </c>
      <c r="H2179" t="s">
        <v>10701</v>
      </c>
      <c r="I2179" t="s">
        <v>10702</v>
      </c>
      <c r="J2179" t="s">
        <v>26</v>
      </c>
      <c r="K2179" t="s">
        <v>27</v>
      </c>
      <c r="L2179" t="b">
        <v>1</v>
      </c>
      <c r="M2179" t="s">
        <v>10703</v>
      </c>
      <c r="N2179" t="str">
        <f>"333.9/2"</f>
        <v>333.9/2</v>
      </c>
      <c r="O2179" t="s">
        <v>10704</v>
      </c>
      <c r="P2179" t="b">
        <v>0</v>
      </c>
      <c r="Q2179" t="b">
        <v>0</v>
      </c>
      <c r="R2179" t="str">
        <f>"9781606923238"</f>
        <v>9781606923238</v>
      </c>
      <c r="S2179" t="str">
        <f>"9781613241387"</f>
        <v>9781613241387</v>
      </c>
      <c r="T2179">
        <v>704276326</v>
      </c>
    </row>
    <row r="2180" spans="1:20" x14ac:dyDescent="0.25">
      <c r="A2180">
        <v>357367</v>
      </c>
      <c r="B2180" t="s">
        <v>10705</v>
      </c>
      <c r="D2180" t="s">
        <v>2269</v>
      </c>
      <c r="E2180" t="s">
        <v>2269</v>
      </c>
      <c r="F2180">
        <v>2009</v>
      </c>
      <c r="G2180" t="s">
        <v>10706</v>
      </c>
      <c r="H2180" t="s">
        <v>10707</v>
      </c>
      <c r="I2180" t="s">
        <v>10708</v>
      </c>
      <c r="J2180" t="s">
        <v>26</v>
      </c>
      <c r="K2180" t="s">
        <v>27</v>
      </c>
      <c r="L2180" t="b">
        <v>1</v>
      </c>
      <c r="M2180" t="s">
        <v>10709</v>
      </c>
      <c r="N2180" t="str">
        <f>"616.85/270082"</f>
        <v>616.85/270082</v>
      </c>
      <c r="P2180" t="b">
        <v>0</v>
      </c>
      <c r="Q2180" t="b">
        <v>0</v>
      </c>
      <c r="R2180" t="str">
        <f>"9781604566475"</f>
        <v>9781604566475</v>
      </c>
      <c r="S2180" t="str">
        <f>"9781613241363"</f>
        <v>9781613241363</v>
      </c>
      <c r="T2180">
        <v>709890931</v>
      </c>
    </row>
    <row r="2181" spans="1:20" x14ac:dyDescent="0.25">
      <c r="A2181">
        <v>357366</v>
      </c>
      <c r="B2181" t="s">
        <v>10710</v>
      </c>
      <c r="D2181" t="s">
        <v>2269</v>
      </c>
      <c r="E2181" t="s">
        <v>2269</v>
      </c>
      <c r="F2181">
        <v>2009</v>
      </c>
      <c r="G2181" t="s">
        <v>7599</v>
      </c>
      <c r="H2181" t="s">
        <v>10711</v>
      </c>
      <c r="I2181" t="s">
        <v>10712</v>
      </c>
      <c r="J2181" t="s">
        <v>26</v>
      </c>
      <c r="K2181" t="s">
        <v>27</v>
      </c>
      <c r="L2181" t="b">
        <v>1</v>
      </c>
      <c r="M2181" t="s">
        <v>10713</v>
      </c>
      <c r="N2181" t="str">
        <f>"618.92"</f>
        <v>618.92</v>
      </c>
      <c r="P2181" t="b">
        <v>0</v>
      </c>
      <c r="Q2181" t="b">
        <v>0</v>
      </c>
      <c r="R2181" t="str">
        <f>"9781606926413"</f>
        <v>9781606926413</v>
      </c>
      <c r="S2181" t="str">
        <f>"9781613241356"</f>
        <v>9781613241356</v>
      </c>
      <c r="T2181">
        <v>709877946</v>
      </c>
    </row>
    <row r="2182" spans="1:20" x14ac:dyDescent="0.25">
      <c r="A2182">
        <v>357364</v>
      </c>
      <c r="B2182" t="s">
        <v>10714</v>
      </c>
      <c r="D2182" t="s">
        <v>2269</v>
      </c>
      <c r="E2182" t="s">
        <v>2269</v>
      </c>
      <c r="F2182">
        <v>2009</v>
      </c>
      <c r="G2182" t="s">
        <v>7345</v>
      </c>
      <c r="H2182" t="s">
        <v>10715</v>
      </c>
      <c r="I2182" t="s">
        <v>10716</v>
      </c>
      <c r="J2182" t="s">
        <v>26</v>
      </c>
      <c r="K2182" t="s">
        <v>27</v>
      </c>
      <c r="L2182" t="b">
        <v>1</v>
      </c>
      <c r="M2182" t="s">
        <v>10717</v>
      </c>
      <c r="N2182" t="str">
        <f>"629.4"</f>
        <v>629.4</v>
      </c>
      <c r="O2182" t="s">
        <v>10718</v>
      </c>
      <c r="P2182" t="b">
        <v>0</v>
      </c>
      <c r="Q2182" t="b">
        <v>0</v>
      </c>
      <c r="R2182" t="str">
        <f>"9781607411819"</f>
        <v>9781607411819</v>
      </c>
      <c r="S2182" t="str">
        <f>"9781613241219"</f>
        <v>9781613241219</v>
      </c>
      <c r="T2182">
        <v>709863139</v>
      </c>
    </row>
    <row r="2183" spans="1:20" x14ac:dyDescent="0.25">
      <c r="A2183">
        <v>357356</v>
      </c>
      <c r="B2183" t="s">
        <v>10719</v>
      </c>
      <c r="D2183" t="s">
        <v>2269</v>
      </c>
      <c r="E2183" t="s">
        <v>2269</v>
      </c>
      <c r="F2183">
        <v>2009</v>
      </c>
      <c r="G2183" t="s">
        <v>4304</v>
      </c>
      <c r="H2183" t="s">
        <v>10720</v>
      </c>
      <c r="I2183" t="s">
        <v>10721</v>
      </c>
      <c r="J2183" t="s">
        <v>26</v>
      </c>
      <c r="K2183" t="s">
        <v>27</v>
      </c>
      <c r="L2183" t="b">
        <v>1</v>
      </c>
      <c r="M2183" t="s">
        <v>10722</v>
      </c>
      <c r="N2183" t="str">
        <f>"362.1"</f>
        <v>362.1</v>
      </c>
      <c r="P2183" t="b">
        <v>0</v>
      </c>
      <c r="Q2183" t="b">
        <v>0</v>
      </c>
      <c r="R2183" t="str">
        <f>"9781606921760"</f>
        <v>9781606921760</v>
      </c>
      <c r="S2183" t="str">
        <f>"9781613241127"</f>
        <v>9781613241127</v>
      </c>
      <c r="T2183">
        <v>704275247</v>
      </c>
    </row>
    <row r="2184" spans="1:20" x14ac:dyDescent="0.25">
      <c r="A2184">
        <v>357355</v>
      </c>
      <c r="B2184" t="s">
        <v>10723</v>
      </c>
      <c r="C2184" t="s">
        <v>10724</v>
      </c>
      <c r="D2184" t="s">
        <v>2269</v>
      </c>
      <c r="E2184" t="s">
        <v>2269</v>
      </c>
      <c r="F2184">
        <v>2009</v>
      </c>
      <c r="G2184" t="s">
        <v>10434</v>
      </c>
      <c r="H2184" t="s">
        <v>10725</v>
      </c>
      <c r="I2184" t="s">
        <v>10726</v>
      </c>
      <c r="J2184" t="s">
        <v>26</v>
      </c>
      <c r="K2184" t="s">
        <v>27</v>
      </c>
      <c r="L2184" t="b">
        <v>1</v>
      </c>
      <c r="M2184" t="s">
        <v>10727</v>
      </c>
      <c r="N2184" t="str">
        <f>"362.196/979200968"</f>
        <v>362.196/979200968</v>
      </c>
      <c r="P2184" t="b">
        <v>0</v>
      </c>
      <c r="Q2184" t="b">
        <v>0</v>
      </c>
      <c r="R2184" t="str">
        <f>"9781606927366"</f>
        <v>9781606927366</v>
      </c>
      <c r="S2184" t="str">
        <f>"9781613241110"</f>
        <v>9781613241110</v>
      </c>
      <c r="T2184">
        <v>704276307</v>
      </c>
    </row>
    <row r="2185" spans="1:20" x14ac:dyDescent="0.25">
      <c r="A2185">
        <v>357354</v>
      </c>
      <c r="B2185" t="s">
        <v>10728</v>
      </c>
      <c r="D2185" t="s">
        <v>2269</v>
      </c>
      <c r="E2185" t="s">
        <v>2269</v>
      </c>
      <c r="F2185">
        <v>2009</v>
      </c>
      <c r="G2185" t="s">
        <v>10729</v>
      </c>
      <c r="H2185" t="s">
        <v>10730</v>
      </c>
      <c r="I2185" t="s">
        <v>10731</v>
      </c>
      <c r="J2185" t="s">
        <v>26</v>
      </c>
      <c r="K2185" t="s">
        <v>27</v>
      </c>
      <c r="L2185" t="b">
        <v>1</v>
      </c>
      <c r="M2185" t="s">
        <v>10732</v>
      </c>
      <c r="N2185" t="str">
        <f>"624.1/8"</f>
        <v>624.1/8</v>
      </c>
      <c r="P2185" t="b">
        <v>0</v>
      </c>
      <c r="Q2185" t="b">
        <v>0</v>
      </c>
      <c r="R2185" t="str">
        <f>"9781606929278"</f>
        <v>9781606929278</v>
      </c>
      <c r="S2185" t="str">
        <f>"9781613241103"</f>
        <v>9781613241103</v>
      </c>
      <c r="T2185">
        <v>704275153</v>
      </c>
    </row>
    <row r="2186" spans="1:20" x14ac:dyDescent="0.25">
      <c r="A2186">
        <v>357353</v>
      </c>
      <c r="B2186" t="s">
        <v>10733</v>
      </c>
      <c r="D2186" t="s">
        <v>2269</v>
      </c>
      <c r="E2186" t="s">
        <v>2269</v>
      </c>
      <c r="F2186">
        <v>2009</v>
      </c>
      <c r="G2186" t="s">
        <v>10734</v>
      </c>
      <c r="H2186" t="s">
        <v>10735</v>
      </c>
      <c r="I2186" t="s">
        <v>10736</v>
      </c>
      <c r="J2186" t="s">
        <v>26</v>
      </c>
      <c r="K2186" t="s">
        <v>27</v>
      </c>
      <c r="L2186" t="b">
        <v>1</v>
      </c>
      <c r="M2186" t="s">
        <v>10737</v>
      </c>
      <c r="N2186" t="str">
        <f>"617.1/027"</f>
        <v>617.1/027</v>
      </c>
      <c r="O2186" t="s">
        <v>10738</v>
      </c>
      <c r="P2186" t="b">
        <v>0</v>
      </c>
      <c r="Q2186" t="b">
        <v>0</v>
      </c>
      <c r="R2186" t="str">
        <f>"9781607415077"</f>
        <v>9781607415077</v>
      </c>
      <c r="S2186" t="str">
        <f>"9781613240991"</f>
        <v>9781613240991</v>
      </c>
      <c r="T2186">
        <v>709777513</v>
      </c>
    </row>
    <row r="2187" spans="1:20" x14ac:dyDescent="0.25">
      <c r="A2187">
        <v>357349</v>
      </c>
      <c r="B2187" t="s">
        <v>10739</v>
      </c>
      <c r="D2187" t="s">
        <v>2269</v>
      </c>
      <c r="E2187" t="s">
        <v>2269</v>
      </c>
      <c r="F2187">
        <v>2009</v>
      </c>
      <c r="G2187" t="s">
        <v>10740</v>
      </c>
      <c r="H2187" t="s">
        <v>10741</v>
      </c>
      <c r="I2187" t="s">
        <v>10742</v>
      </c>
      <c r="J2187" t="s">
        <v>26</v>
      </c>
      <c r="K2187" t="s">
        <v>27</v>
      </c>
      <c r="L2187" t="b">
        <v>1</v>
      </c>
      <c r="M2187" t="s">
        <v>10743</v>
      </c>
      <c r="N2187" t="str">
        <f>"616/.02774"</f>
        <v>616/.02774</v>
      </c>
      <c r="O2187" t="s">
        <v>7360</v>
      </c>
      <c r="P2187" t="b">
        <v>0</v>
      </c>
      <c r="Q2187" t="b">
        <v>0</v>
      </c>
      <c r="R2187" t="str">
        <f>"9781607414735"</f>
        <v>9781607414735</v>
      </c>
      <c r="S2187" t="str">
        <f>"9781613240953"</f>
        <v>9781613240953</v>
      </c>
      <c r="T2187">
        <v>704274084</v>
      </c>
    </row>
    <row r="2188" spans="1:20" x14ac:dyDescent="0.25">
      <c r="A2188">
        <v>357347</v>
      </c>
      <c r="B2188" t="s">
        <v>10744</v>
      </c>
      <c r="C2188" t="s">
        <v>10745</v>
      </c>
      <c r="D2188" t="s">
        <v>2269</v>
      </c>
      <c r="E2188" t="s">
        <v>2269</v>
      </c>
      <c r="F2188">
        <v>2009</v>
      </c>
      <c r="G2188" t="s">
        <v>6758</v>
      </c>
      <c r="H2188" t="s">
        <v>10746</v>
      </c>
      <c r="I2188" t="s">
        <v>10747</v>
      </c>
      <c r="J2188" t="s">
        <v>26</v>
      </c>
      <c r="K2188" t="s">
        <v>27</v>
      </c>
      <c r="L2188" t="b">
        <v>1</v>
      </c>
      <c r="M2188" t="s">
        <v>10748</v>
      </c>
      <c r="N2188" t="str">
        <f>"540"</f>
        <v>540</v>
      </c>
      <c r="P2188" t="b">
        <v>0</v>
      </c>
      <c r="R2188" t="str">
        <f>"9781606923436"</f>
        <v>9781606923436</v>
      </c>
      <c r="S2188" t="str">
        <f>"9781613240892"</f>
        <v>9781613240892</v>
      </c>
      <c r="T2188">
        <v>709777685</v>
      </c>
    </row>
    <row r="2189" spans="1:20" x14ac:dyDescent="0.25">
      <c r="A2189">
        <v>357345</v>
      </c>
      <c r="B2189" t="s">
        <v>10749</v>
      </c>
      <c r="D2189" t="s">
        <v>2269</v>
      </c>
      <c r="E2189" t="s">
        <v>2269</v>
      </c>
      <c r="F2189">
        <v>2009</v>
      </c>
      <c r="G2189" t="s">
        <v>10478</v>
      </c>
      <c r="H2189" t="s">
        <v>10750</v>
      </c>
      <c r="I2189" t="s">
        <v>10751</v>
      </c>
      <c r="J2189" t="s">
        <v>26</v>
      </c>
      <c r="K2189" t="s">
        <v>27</v>
      </c>
      <c r="L2189" t="b">
        <v>1</v>
      </c>
      <c r="M2189" t="s">
        <v>10752</v>
      </c>
      <c r="N2189" t="str">
        <f>"535.8/46"</f>
        <v>535.8/46</v>
      </c>
      <c r="P2189" t="b">
        <v>0</v>
      </c>
      <c r="Q2189" t="b">
        <v>0</v>
      </c>
      <c r="R2189" t="str">
        <f>"9781606925799"</f>
        <v>9781606925799</v>
      </c>
      <c r="S2189" t="str">
        <f>"9781613240786"</f>
        <v>9781613240786</v>
      </c>
      <c r="T2189">
        <v>704275145</v>
      </c>
    </row>
    <row r="2190" spans="1:20" x14ac:dyDescent="0.25">
      <c r="A2190">
        <v>357342</v>
      </c>
      <c r="B2190" t="s">
        <v>10753</v>
      </c>
      <c r="D2190" t="s">
        <v>2269</v>
      </c>
      <c r="E2190" t="s">
        <v>2269</v>
      </c>
      <c r="F2190">
        <v>2009</v>
      </c>
      <c r="G2190" t="s">
        <v>7255</v>
      </c>
      <c r="H2190" t="s">
        <v>10754</v>
      </c>
      <c r="I2190" t="s">
        <v>10755</v>
      </c>
      <c r="J2190" t="s">
        <v>26</v>
      </c>
      <c r="K2190" t="s">
        <v>27</v>
      </c>
      <c r="L2190" t="b">
        <v>1</v>
      </c>
      <c r="M2190" t="s">
        <v>10756</v>
      </c>
      <c r="N2190" t="str">
        <f>"551.6973"</f>
        <v>551.6973</v>
      </c>
      <c r="P2190" t="b">
        <v>0</v>
      </c>
      <c r="Q2190" t="b">
        <v>0</v>
      </c>
      <c r="R2190" t="str">
        <f>"9781604569896"</f>
        <v>9781604569896</v>
      </c>
      <c r="S2190" t="str">
        <f>"9781613240755"</f>
        <v>9781613240755</v>
      </c>
      <c r="T2190">
        <v>704277122</v>
      </c>
    </row>
    <row r="2191" spans="1:20" x14ac:dyDescent="0.25">
      <c r="A2191">
        <v>356001</v>
      </c>
      <c r="B2191" t="s">
        <v>10757</v>
      </c>
      <c r="C2191" t="s">
        <v>10758</v>
      </c>
      <c r="D2191" t="s">
        <v>10249</v>
      </c>
      <c r="E2191" t="s">
        <v>10249</v>
      </c>
      <c r="F2191">
        <v>2008</v>
      </c>
      <c r="G2191" t="s">
        <v>4488</v>
      </c>
      <c r="H2191" t="s">
        <v>10759</v>
      </c>
      <c r="I2191" t="s">
        <v>10760</v>
      </c>
      <c r="J2191" t="s">
        <v>26</v>
      </c>
      <c r="K2191" t="s">
        <v>86</v>
      </c>
      <c r="L2191" t="b">
        <v>1</v>
      </c>
      <c r="M2191" t="s">
        <v>10761</v>
      </c>
      <c r="N2191" t="str">
        <f>"320.962"</f>
        <v>320.962</v>
      </c>
      <c r="O2191" t="s">
        <v>10762</v>
      </c>
      <c r="P2191" t="b">
        <v>0</v>
      </c>
      <c r="R2191" t="str">
        <f>"9780691158044"</f>
        <v>9780691158044</v>
      </c>
      <c r="S2191" t="str">
        <f>"9781400837861"</f>
        <v>9781400837861</v>
      </c>
      <c r="T2191">
        <v>708252953</v>
      </c>
    </row>
    <row r="2192" spans="1:20" x14ac:dyDescent="0.25">
      <c r="A2192">
        <v>355875</v>
      </c>
      <c r="B2192" t="s">
        <v>10763</v>
      </c>
      <c r="C2192" t="s">
        <v>10764</v>
      </c>
      <c r="D2192" t="s">
        <v>2269</v>
      </c>
      <c r="E2192" t="s">
        <v>2269</v>
      </c>
      <c r="F2192">
        <v>2009</v>
      </c>
      <c r="G2192" t="s">
        <v>8909</v>
      </c>
      <c r="H2192" t="s">
        <v>10765</v>
      </c>
      <c r="I2192" t="s">
        <v>10766</v>
      </c>
      <c r="J2192" t="s">
        <v>26</v>
      </c>
      <c r="K2192" t="s">
        <v>27</v>
      </c>
      <c r="L2192" t="b">
        <v>1</v>
      </c>
      <c r="M2192" t="s">
        <v>10767</v>
      </c>
      <c r="N2192" t="str">
        <f>"621.3/5"</f>
        <v>621.3/5</v>
      </c>
      <c r="P2192" t="b">
        <v>0</v>
      </c>
      <c r="Q2192" t="b">
        <v>0</v>
      </c>
      <c r="R2192" t="str">
        <f>"9781604569193"</f>
        <v>9781604569193</v>
      </c>
      <c r="S2192" t="str">
        <f>"9781613240878"</f>
        <v>9781613240878</v>
      </c>
      <c r="T2192">
        <v>703155991</v>
      </c>
    </row>
    <row r="2193" spans="1:20" x14ac:dyDescent="0.25">
      <c r="A2193">
        <v>355874</v>
      </c>
      <c r="B2193" t="s">
        <v>10768</v>
      </c>
      <c r="D2193" t="s">
        <v>2269</v>
      </c>
      <c r="E2193" t="s">
        <v>2269</v>
      </c>
      <c r="F2193">
        <v>2009</v>
      </c>
      <c r="G2193" t="s">
        <v>7435</v>
      </c>
      <c r="H2193" t="s">
        <v>10769</v>
      </c>
      <c r="I2193" t="s">
        <v>10770</v>
      </c>
      <c r="J2193" t="s">
        <v>26</v>
      </c>
      <c r="K2193" t="s">
        <v>27</v>
      </c>
      <c r="L2193" t="b">
        <v>1</v>
      </c>
      <c r="M2193" t="s">
        <v>10771</v>
      </c>
      <c r="N2193" t="str">
        <f>"362.29"</f>
        <v>362.29</v>
      </c>
      <c r="P2193" t="b">
        <v>0</v>
      </c>
      <c r="Q2193" t="b">
        <v>0</v>
      </c>
      <c r="R2193" t="str">
        <f>"9781606921395"</f>
        <v>9781606921395</v>
      </c>
      <c r="S2193" t="str">
        <f>"9781613240861"</f>
        <v>9781613240861</v>
      </c>
      <c r="T2193">
        <v>703155091</v>
      </c>
    </row>
    <row r="2194" spans="1:20" x14ac:dyDescent="0.25">
      <c r="A2194">
        <v>355873</v>
      </c>
      <c r="B2194" t="s">
        <v>10772</v>
      </c>
      <c r="D2194" t="s">
        <v>2269</v>
      </c>
      <c r="E2194" t="s">
        <v>2269</v>
      </c>
      <c r="F2194">
        <v>2009</v>
      </c>
      <c r="G2194" t="s">
        <v>8909</v>
      </c>
      <c r="H2194" t="s">
        <v>10773</v>
      </c>
      <c r="I2194" t="s">
        <v>10774</v>
      </c>
      <c r="J2194" t="s">
        <v>26</v>
      </c>
      <c r="K2194" t="s">
        <v>27</v>
      </c>
      <c r="L2194" t="b">
        <v>1</v>
      </c>
      <c r="M2194" t="s">
        <v>10775</v>
      </c>
      <c r="N2194" t="str">
        <f>"537.6/23"</f>
        <v>537.6/23</v>
      </c>
      <c r="P2194" t="b">
        <v>0</v>
      </c>
      <c r="Q2194" t="b">
        <v>0</v>
      </c>
      <c r="R2194" t="str">
        <f>"9781604566093"</f>
        <v>9781604566093</v>
      </c>
      <c r="S2194" t="str">
        <f>"9781613240854"</f>
        <v>9781613240854</v>
      </c>
      <c r="T2194">
        <v>703155988</v>
      </c>
    </row>
    <row r="2195" spans="1:20" x14ac:dyDescent="0.25">
      <c r="A2195">
        <v>355870</v>
      </c>
      <c r="B2195" t="s">
        <v>10776</v>
      </c>
      <c r="C2195" t="s">
        <v>10777</v>
      </c>
      <c r="D2195" t="s">
        <v>2269</v>
      </c>
      <c r="E2195" t="s">
        <v>2269</v>
      </c>
      <c r="F2195">
        <v>2009</v>
      </c>
      <c r="G2195" t="s">
        <v>4232</v>
      </c>
      <c r="H2195" t="s">
        <v>10778</v>
      </c>
      <c r="I2195" t="s">
        <v>10779</v>
      </c>
      <c r="J2195" t="s">
        <v>26</v>
      </c>
      <c r="K2195" t="s">
        <v>27</v>
      </c>
      <c r="L2195" t="b">
        <v>1</v>
      </c>
      <c r="M2195" t="s">
        <v>10780</v>
      </c>
      <c r="N2195" t="str">
        <f>"590.72/3"</f>
        <v>590.72/3</v>
      </c>
      <c r="P2195" t="b">
        <v>0</v>
      </c>
      <c r="Q2195" t="b">
        <v>0</v>
      </c>
      <c r="R2195" t="str">
        <f>"9781606925096"</f>
        <v>9781606925096</v>
      </c>
      <c r="S2195" t="str">
        <f>"9781613240823"</f>
        <v>9781613240823</v>
      </c>
      <c r="T2195">
        <v>703156013</v>
      </c>
    </row>
    <row r="2196" spans="1:20" x14ac:dyDescent="0.25">
      <c r="A2196">
        <v>355869</v>
      </c>
      <c r="B2196" t="s">
        <v>10781</v>
      </c>
      <c r="D2196" t="s">
        <v>2269</v>
      </c>
      <c r="E2196" t="s">
        <v>2269</v>
      </c>
      <c r="F2196">
        <v>2009</v>
      </c>
      <c r="G2196" t="s">
        <v>8293</v>
      </c>
      <c r="H2196" t="s">
        <v>10782</v>
      </c>
      <c r="I2196" t="s">
        <v>10783</v>
      </c>
      <c r="J2196" t="s">
        <v>26</v>
      </c>
      <c r="K2196" t="s">
        <v>27</v>
      </c>
      <c r="L2196" t="b">
        <v>1</v>
      </c>
      <c r="M2196" t="s">
        <v>10784</v>
      </c>
      <c r="N2196" t="str">
        <f>"628.1/683098"</f>
        <v>628.1/683098</v>
      </c>
      <c r="O2196" t="s">
        <v>10785</v>
      </c>
      <c r="P2196" t="b">
        <v>0</v>
      </c>
      <c r="Q2196" t="b">
        <v>0</v>
      </c>
      <c r="R2196" t="str">
        <f>"9781607416098"</f>
        <v>9781607416098</v>
      </c>
      <c r="S2196" t="str">
        <f>"9781613240816"</f>
        <v>9781613240816</v>
      </c>
      <c r="T2196">
        <v>703155990</v>
      </c>
    </row>
    <row r="2197" spans="1:20" x14ac:dyDescent="0.25">
      <c r="A2197">
        <v>355864</v>
      </c>
      <c r="B2197" t="s">
        <v>10786</v>
      </c>
      <c r="C2197" t="s">
        <v>10787</v>
      </c>
      <c r="D2197" t="s">
        <v>2269</v>
      </c>
      <c r="E2197" t="s">
        <v>2269</v>
      </c>
      <c r="F2197">
        <v>2009</v>
      </c>
      <c r="G2197" t="s">
        <v>540</v>
      </c>
      <c r="H2197" t="s">
        <v>10788</v>
      </c>
      <c r="I2197" t="s">
        <v>10789</v>
      </c>
      <c r="J2197" t="s">
        <v>26</v>
      </c>
      <c r="K2197" t="s">
        <v>27</v>
      </c>
      <c r="L2197" t="b">
        <v>1</v>
      </c>
      <c r="M2197" t="s">
        <v>10790</v>
      </c>
      <c r="N2197" t="str">
        <f>"363.738/74526"</f>
        <v>363.738/74526</v>
      </c>
      <c r="P2197" t="b">
        <v>0</v>
      </c>
      <c r="Q2197" t="b">
        <v>0</v>
      </c>
      <c r="R2197" t="str">
        <f>"9781604569834"</f>
        <v>9781604569834</v>
      </c>
      <c r="S2197" t="str">
        <f>"9781613240700"</f>
        <v>9781613240700</v>
      </c>
      <c r="T2197">
        <v>703155989</v>
      </c>
    </row>
    <row r="2198" spans="1:20" x14ac:dyDescent="0.25">
      <c r="A2198">
        <v>355863</v>
      </c>
      <c r="B2198" t="s">
        <v>10791</v>
      </c>
      <c r="C2198" t="s">
        <v>10792</v>
      </c>
      <c r="D2198" t="s">
        <v>2269</v>
      </c>
      <c r="E2198" t="s">
        <v>2269</v>
      </c>
      <c r="F2198">
        <v>2009</v>
      </c>
      <c r="G2198" t="s">
        <v>9802</v>
      </c>
      <c r="H2198" t="s">
        <v>10793</v>
      </c>
      <c r="I2198" t="s">
        <v>10794</v>
      </c>
      <c r="J2198" t="s">
        <v>26</v>
      </c>
      <c r="K2198" t="s">
        <v>27</v>
      </c>
      <c r="L2198" t="b">
        <v>1</v>
      </c>
      <c r="M2198" t="s">
        <v>10795</v>
      </c>
      <c r="N2198" t="str">
        <f>"612.8"</f>
        <v>612.8</v>
      </c>
      <c r="P2198" t="b">
        <v>0</v>
      </c>
      <c r="Q2198" t="b">
        <v>0</v>
      </c>
      <c r="R2198" t="str">
        <f>"9781606928813"</f>
        <v>9781606928813</v>
      </c>
      <c r="S2198" t="str">
        <f>"9781613240595"</f>
        <v>9781613240595</v>
      </c>
      <c r="T2198">
        <v>703155103</v>
      </c>
    </row>
    <row r="2199" spans="1:20" x14ac:dyDescent="0.25">
      <c r="A2199">
        <v>355849</v>
      </c>
      <c r="B2199" t="s">
        <v>10796</v>
      </c>
      <c r="D2199" t="s">
        <v>2269</v>
      </c>
      <c r="E2199" t="s">
        <v>2269</v>
      </c>
      <c r="F2199">
        <v>2009</v>
      </c>
      <c r="G2199" t="s">
        <v>355</v>
      </c>
      <c r="H2199" t="s">
        <v>10797</v>
      </c>
      <c r="I2199" t="s">
        <v>10798</v>
      </c>
      <c r="J2199" t="s">
        <v>26</v>
      </c>
      <c r="K2199" t="s">
        <v>27</v>
      </c>
      <c r="L2199" t="b">
        <v>1</v>
      </c>
      <c r="M2199" t="s">
        <v>10799</v>
      </c>
      <c r="N2199" t="str">
        <f>"677/.464"</f>
        <v>677/.464</v>
      </c>
      <c r="P2199" t="b">
        <v>0</v>
      </c>
      <c r="Q2199" t="b">
        <v>0</v>
      </c>
      <c r="R2199" t="str">
        <f>"9781606920022"</f>
        <v>9781606920022</v>
      </c>
      <c r="S2199" t="str">
        <f>"9781607414193"</f>
        <v>9781607414193</v>
      </c>
      <c r="T2199">
        <v>703155077</v>
      </c>
    </row>
    <row r="2200" spans="1:20" x14ac:dyDescent="0.25">
      <c r="A2200">
        <v>355680</v>
      </c>
      <c r="B2200" t="s">
        <v>10800</v>
      </c>
      <c r="C2200" t="s">
        <v>10801</v>
      </c>
      <c r="D2200" t="s">
        <v>10802</v>
      </c>
      <c r="E2200" t="s">
        <v>10803</v>
      </c>
      <c r="F2200">
        <v>2009</v>
      </c>
      <c r="G2200" t="s">
        <v>6406</v>
      </c>
      <c r="H2200" t="s">
        <v>10804</v>
      </c>
      <c r="I2200" t="s">
        <v>10805</v>
      </c>
      <c r="J2200" t="s">
        <v>26</v>
      </c>
      <c r="K2200" t="s">
        <v>27</v>
      </c>
      <c r="L2200" t="b">
        <v>0</v>
      </c>
      <c r="M2200" t="s">
        <v>10806</v>
      </c>
      <c r="N2200" t="str">
        <f>"658.4/092"</f>
        <v>658.4/092</v>
      </c>
      <c r="P2200" t="b">
        <v>0</v>
      </c>
      <c r="Q2200" t="b">
        <v>1</v>
      </c>
      <c r="R2200" t="str">
        <f>"9781601630339"</f>
        <v>9781601630339</v>
      </c>
      <c r="S2200" t="str">
        <f>"9781601638212"</f>
        <v>9781601638212</v>
      </c>
      <c r="T2200">
        <v>703155992</v>
      </c>
    </row>
    <row r="2201" spans="1:20" x14ac:dyDescent="0.25">
      <c r="A2201">
        <v>355426</v>
      </c>
      <c r="B2201" t="s">
        <v>10807</v>
      </c>
      <c r="D2201" t="s">
        <v>22</v>
      </c>
      <c r="E2201" t="s">
        <v>22</v>
      </c>
      <c r="F2201">
        <v>2010</v>
      </c>
      <c r="G2201" t="s">
        <v>182</v>
      </c>
      <c r="H2201" t="s">
        <v>10808</v>
      </c>
      <c r="I2201" t="s">
        <v>10809</v>
      </c>
      <c r="J2201" t="s">
        <v>26</v>
      </c>
      <c r="K2201" t="s">
        <v>27</v>
      </c>
      <c r="L2201" t="b">
        <v>1</v>
      </c>
      <c r="M2201" t="s">
        <v>10810</v>
      </c>
      <c r="N2201" t="str">
        <f>"509"</f>
        <v>509</v>
      </c>
      <c r="P2201" t="b">
        <v>0</v>
      </c>
      <c r="Q2201" t="b">
        <v>0</v>
      </c>
      <c r="R2201" t="str">
        <f>"9789089642394"</f>
        <v>9789089642394</v>
      </c>
      <c r="S2201" t="str">
        <f>"9789048512737"</f>
        <v>9789048512737</v>
      </c>
      <c r="T2201">
        <v>710153850</v>
      </c>
    </row>
    <row r="2202" spans="1:20" x14ac:dyDescent="0.25">
      <c r="A2202">
        <v>354816</v>
      </c>
      <c r="B2202" t="s">
        <v>10811</v>
      </c>
      <c r="D2202" t="s">
        <v>2269</v>
      </c>
      <c r="E2202" t="s">
        <v>2269</v>
      </c>
      <c r="F2202">
        <v>2009</v>
      </c>
      <c r="G2202" t="s">
        <v>7374</v>
      </c>
      <c r="H2202" t="s">
        <v>10812</v>
      </c>
      <c r="I2202" t="s">
        <v>10813</v>
      </c>
      <c r="J2202" t="s">
        <v>26</v>
      </c>
      <c r="K2202" t="s">
        <v>27</v>
      </c>
      <c r="L2202" t="b">
        <v>1</v>
      </c>
      <c r="M2202" t="s">
        <v>10814</v>
      </c>
      <c r="N2202" t="str">
        <f>"541/.345"</f>
        <v>541/.345</v>
      </c>
      <c r="P2202" t="b">
        <v>0</v>
      </c>
      <c r="Q2202" t="b">
        <v>0</v>
      </c>
      <c r="R2202" t="str">
        <f>"9781606929469"</f>
        <v>9781606929469</v>
      </c>
      <c r="S2202" t="str">
        <f>"9781613240304"</f>
        <v>9781613240304</v>
      </c>
      <c r="T2202">
        <v>701719357</v>
      </c>
    </row>
    <row r="2203" spans="1:20" x14ac:dyDescent="0.25">
      <c r="A2203">
        <v>354813</v>
      </c>
      <c r="B2203" t="s">
        <v>10815</v>
      </c>
      <c r="C2203" t="s">
        <v>10816</v>
      </c>
      <c r="D2203" t="s">
        <v>2269</v>
      </c>
      <c r="E2203" t="s">
        <v>2269</v>
      </c>
      <c r="F2203">
        <v>2009</v>
      </c>
      <c r="G2203" t="s">
        <v>9553</v>
      </c>
      <c r="H2203" t="s">
        <v>10817</v>
      </c>
      <c r="I2203" t="s">
        <v>10818</v>
      </c>
      <c r="J2203" t="s">
        <v>26</v>
      </c>
      <c r="K2203" t="s">
        <v>27</v>
      </c>
      <c r="L2203" t="b">
        <v>1</v>
      </c>
      <c r="M2203" t="s">
        <v>10819</v>
      </c>
      <c r="N2203" t="str">
        <f>"620.1/892931"</f>
        <v>620.1/892931</v>
      </c>
      <c r="P2203" t="b">
        <v>0</v>
      </c>
      <c r="Q2203" t="b">
        <v>0</v>
      </c>
      <c r="R2203" t="str">
        <f>"9781606925737"</f>
        <v>9781606925737</v>
      </c>
      <c r="S2203" t="str">
        <f>"9781613240274"</f>
        <v>9781613240274</v>
      </c>
      <c r="T2203">
        <v>705944537</v>
      </c>
    </row>
    <row r="2204" spans="1:20" x14ac:dyDescent="0.25">
      <c r="A2204">
        <v>354812</v>
      </c>
      <c r="B2204" t="s">
        <v>10820</v>
      </c>
      <c r="C2204" t="s">
        <v>10821</v>
      </c>
      <c r="D2204" t="s">
        <v>2269</v>
      </c>
      <c r="E2204" t="s">
        <v>2269</v>
      </c>
      <c r="F2204">
        <v>2009</v>
      </c>
      <c r="G2204" t="s">
        <v>9242</v>
      </c>
      <c r="H2204" t="s">
        <v>10822</v>
      </c>
      <c r="I2204" t="s">
        <v>10823</v>
      </c>
      <c r="J2204" t="s">
        <v>26</v>
      </c>
      <c r="K2204" t="s">
        <v>27</v>
      </c>
      <c r="L2204" t="b">
        <v>1</v>
      </c>
      <c r="M2204" t="s">
        <v>10824</v>
      </c>
      <c r="N2204" t="str">
        <f>"614.4/7"</f>
        <v>614.4/7</v>
      </c>
      <c r="P2204" t="b">
        <v>0</v>
      </c>
      <c r="Q2204" t="b">
        <v>0</v>
      </c>
      <c r="R2204" t="str">
        <f>"9781606929698"</f>
        <v>9781606929698</v>
      </c>
      <c r="S2204" t="str">
        <f>"9781613240267"</f>
        <v>9781613240267</v>
      </c>
      <c r="T2204">
        <v>701719414</v>
      </c>
    </row>
    <row r="2205" spans="1:20" x14ac:dyDescent="0.25">
      <c r="A2205">
        <v>354802</v>
      </c>
      <c r="B2205" t="s">
        <v>10825</v>
      </c>
      <c r="D2205" t="s">
        <v>2269</v>
      </c>
      <c r="E2205" t="s">
        <v>2269</v>
      </c>
      <c r="F2205">
        <v>2009</v>
      </c>
      <c r="G2205" t="s">
        <v>8679</v>
      </c>
      <c r="H2205" t="s">
        <v>10826</v>
      </c>
      <c r="I2205" t="s">
        <v>10827</v>
      </c>
      <c r="J2205" t="s">
        <v>26</v>
      </c>
      <c r="K2205" t="s">
        <v>27</v>
      </c>
      <c r="L2205" t="b">
        <v>1</v>
      </c>
      <c r="M2205" t="s">
        <v>10828</v>
      </c>
      <c r="N2205" t="str">
        <f>"616.2/09"</f>
        <v>616.2/09</v>
      </c>
      <c r="P2205" t="b">
        <v>0</v>
      </c>
      <c r="Q2205" t="b">
        <v>0</v>
      </c>
      <c r="R2205" t="str">
        <f>"9781604562453"</f>
        <v>9781604562453</v>
      </c>
      <c r="S2205" t="str">
        <f>"9781607416715"</f>
        <v>9781607416715</v>
      </c>
      <c r="T2205">
        <v>701053907</v>
      </c>
    </row>
    <row r="2206" spans="1:20" x14ac:dyDescent="0.25">
      <c r="A2206">
        <v>354801</v>
      </c>
      <c r="B2206" t="s">
        <v>10829</v>
      </c>
      <c r="C2206" t="s">
        <v>10830</v>
      </c>
      <c r="D2206" t="s">
        <v>2269</v>
      </c>
      <c r="E2206" t="s">
        <v>2269</v>
      </c>
      <c r="F2206">
        <v>2009</v>
      </c>
      <c r="G2206" t="s">
        <v>10831</v>
      </c>
      <c r="H2206" t="s">
        <v>10832</v>
      </c>
      <c r="I2206" t="s">
        <v>10833</v>
      </c>
      <c r="J2206" t="s">
        <v>26</v>
      </c>
      <c r="K2206" t="s">
        <v>27</v>
      </c>
      <c r="L2206" t="b">
        <v>1</v>
      </c>
      <c r="M2206" t="s">
        <v>10834</v>
      </c>
      <c r="N2206" t="str">
        <f>"612.015"</f>
        <v>612.015</v>
      </c>
      <c r="O2206" t="s">
        <v>7360</v>
      </c>
      <c r="P2206" t="b">
        <v>0</v>
      </c>
      <c r="Q2206" t="b">
        <v>0</v>
      </c>
      <c r="R2206" t="str">
        <f>"9781606924198"</f>
        <v>9781606924198</v>
      </c>
      <c r="S2206" t="str">
        <f>"9781607416708"</f>
        <v>9781607416708</v>
      </c>
      <c r="T2206">
        <v>701053859</v>
      </c>
    </row>
    <row r="2207" spans="1:20" x14ac:dyDescent="0.25">
      <c r="A2207">
        <v>354615</v>
      </c>
      <c r="B2207" t="s">
        <v>10835</v>
      </c>
      <c r="D2207" t="s">
        <v>131</v>
      </c>
      <c r="E2207" t="s">
        <v>1885</v>
      </c>
      <c r="F2207">
        <v>2011</v>
      </c>
      <c r="G2207" t="s">
        <v>4670</v>
      </c>
      <c r="H2207" t="s">
        <v>10836</v>
      </c>
      <c r="I2207" t="s">
        <v>10837</v>
      </c>
      <c r="J2207" t="s">
        <v>26</v>
      </c>
      <c r="K2207" t="s">
        <v>86</v>
      </c>
      <c r="L2207" t="b">
        <v>1</v>
      </c>
      <c r="M2207" t="s">
        <v>10838</v>
      </c>
      <c r="N2207" t="str">
        <f>"530"</f>
        <v>530</v>
      </c>
      <c r="O2207" t="s">
        <v>6762</v>
      </c>
      <c r="P2207" t="b">
        <v>0</v>
      </c>
      <c r="Q2207" t="b">
        <v>0</v>
      </c>
      <c r="R2207" t="str">
        <f>"9781578593057"</f>
        <v>9781578593057</v>
      </c>
      <c r="S2207" t="str">
        <f>"9781578593552"</f>
        <v>9781578593552</v>
      </c>
      <c r="T2207">
        <v>703254778</v>
      </c>
    </row>
    <row r="2208" spans="1:20" x14ac:dyDescent="0.25">
      <c r="A2208">
        <v>354484</v>
      </c>
      <c r="B2208" t="s">
        <v>10839</v>
      </c>
      <c r="D2208" t="s">
        <v>1151</v>
      </c>
      <c r="E2208" t="s">
        <v>10840</v>
      </c>
      <c r="F2208">
        <v>2008</v>
      </c>
      <c r="G2208" t="s">
        <v>10841</v>
      </c>
      <c r="H2208" t="s">
        <v>10842</v>
      </c>
      <c r="I2208" t="s">
        <v>10843</v>
      </c>
      <c r="J2208" t="s">
        <v>26</v>
      </c>
      <c r="K2208" t="s">
        <v>27</v>
      </c>
      <c r="L2208" t="b">
        <v>1</v>
      </c>
      <c r="M2208" t="s">
        <v>10844</v>
      </c>
      <c r="N2208" t="str">
        <f>"629.132/5214"</f>
        <v>629.132/5214</v>
      </c>
      <c r="P2208" t="b">
        <v>0</v>
      </c>
      <c r="R2208" t="str">
        <f>"9781560277064"</f>
        <v>9781560277064</v>
      </c>
      <c r="S2208" t="str">
        <f>"9781560277828"</f>
        <v>9781560277828</v>
      </c>
      <c r="T2208">
        <v>732028461</v>
      </c>
    </row>
    <row r="2209" spans="1:20" x14ac:dyDescent="0.25">
      <c r="A2209">
        <v>354343</v>
      </c>
      <c r="B2209" t="s">
        <v>10845</v>
      </c>
      <c r="D2209" t="s">
        <v>2269</v>
      </c>
      <c r="E2209" t="s">
        <v>2269</v>
      </c>
      <c r="F2209">
        <v>2009</v>
      </c>
      <c r="G2209" t="s">
        <v>9548</v>
      </c>
      <c r="H2209" t="s">
        <v>10846</v>
      </c>
      <c r="I2209" t="s">
        <v>10847</v>
      </c>
      <c r="J2209" t="s">
        <v>26</v>
      </c>
      <c r="K2209" t="s">
        <v>27</v>
      </c>
      <c r="L2209" t="b">
        <v>1</v>
      </c>
      <c r="M2209" t="s">
        <v>10848</v>
      </c>
      <c r="N2209" t="str">
        <f>"620.1/1297"</f>
        <v>620.1/1297</v>
      </c>
      <c r="O2209" t="s">
        <v>10849</v>
      </c>
      <c r="P2209" t="b">
        <v>0</v>
      </c>
      <c r="Q2209" t="b">
        <v>0</v>
      </c>
      <c r="R2209" t="str">
        <f>"9781607417705"</f>
        <v>9781607417705</v>
      </c>
      <c r="S2209" t="str">
        <f>"9781612098876"</f>
        <v>9781612098876</v>
      </c>
      <c r="T2209">
        <v>701053902</v>
      </c>
    </row>
    <row r="2210" spans="1:20" x14ac:dyDescent="0.25">
      <c r="A2210">
        <v>354342</v>
      </c>
      <c r="B2210" t="s">
        <v>10850</v>
      </c>
      <c r="D2210" t="s">
        <v>2269</v>
      </c>
      <c r="E2210" t="s">
        <v>2269</v>
      </c>
      <c r="F2210">
        <v>2009</v>
      </c>
      <c r="G2210" t="s">
        <v>400</v>
      </c>
      <c r="H2210" t="s">
        <v>10851</v>
      </c>
      <c r="I2210" t="s">
        <v>10852</v>
      </c>
      <c r="J2210" t="s">
        <v>26</v>
      </c>
      <c r="K2210" t="s">
        <v>27</v>
      </c>
      <c r="L2210" t="b">
        <v>1</v>
      </c>
      <c r="M2210" t="s">
        <v>10853</v>
      </c>
      <c r="N2210" t="str">
        <f>"628.5/32"</f>
        <v>628.5/32</v>
      </c>
      <c r="O2210" t="s">
        <v>10854</v>
      </c>
      <c r="P2210" t="b">
        <v>0</v>
      </c>
      <c r="Q2210" t="b">
        <v>0</v>
      </c>
      <c r="R2210" t="str">
        <f>"9781607411451"</f>
        <v>9781607411451</v>
      </c>
      <c r="S2210" t="str">
        <f>"9781612098869"</f>
        <v>9781612098869</v>
      </c>
      <c r="T2210">
        <v>701053901</v>
      </c>
    </row>
    <row r="2211" spans="1:20" x14ac:dyDescent="0.25">
      <c r="A2211">
        <v>354341</v>
      </c>
      <c r="B2211" t="s">
        <v>10855</v>
      </c>
      <c r="C2211" t="s">
        <v>10856</v>
      </c>
      <c r="D2211" t="s">
        <v>2269</v>
      </c>
      <c r="E2211" t="s">
        <v>2269</v>
      </c>
      <c r="F2211">
        <v>2009</v>
      </c>
      <c r="G2211" t="s">
        <v>10857</v>
      </c>
      <c r="H2211" t="s">
        <v>10858</v>
      </c>
      <c r="I2211" t="s">
        <v>10859</v>
      </c>
      <c r="J2211" t="s">
        <v>26</v>
      </c>
      <c r="K2211" t="s">
        <v>27</v>
      </c>
      <c r="L2211" t="b">
        <v>1</v>
      </c>
      <c r="M2211" t="s">
        <v>10860</v>
      </c>
      <c r="N2211" t="str">
        <f>"614/.1"</f>
        <v>614/.1</v>
      </c>
      <c r="O2211" t="s">
        <v>10861</v>
      </c>
      <c r="P2211" t="b">
        <v>0</v>
      </c>
      <c r="Q2211" t="b">
        <v>0</v>
      </c>
      <c r="R2211" t="str">
        <f>"9781607418146"</f>
        <v>9781607418146</v>
      </c>
      <c r="S2211" t="str">
        <f>"9781612098852"</f>
        <v>9781612098852</v>
      </c>
      <c r="T2211">
        <v>701053868</v>
      </c>
    </row>
    <row r="2212" spans="1:20" x14ac:dyDescent="0.25">
      <c r="A2212">
        <v>354340</v>
      </c>
      <c r="B2212" t="s">
        <v>10862</v>
      </c>
      <c r="D2212" t="s">
        <v>2269</v>
      </c>
      <c r="E2212" t="s">
        <v>2269</v>
      </c>
      <c r="F2212">
        <v>2009</v>
      </c>
      <c r="G2212" t="s">
        <v>10863</v>
      </c>
      <c r="H2212" t="s">
        <v>10864</v>
      </c>
      <c r="I2212" t="s">
        <v>10865</v>
      </c>
      <c r="J2212" t="s">
        <v>26</v>
      </c>
      <c r="K2212" t="s">
        <v>27</v>
      </c>
      <c r="L2212" t="b">
        <v>1</v>
      </c>
      <c r="M2212" t="s">
        <v>10866</v>
      </c>
      <c r="N2212" t="str">
        <f>"615/.19"</f>
        <v>615/.19</v>
      </c>
      <c r="P2212" t="b">
        <v>0</v>
      </c>
      <c r="Q2212" t="b">
        <v>0</v>
      </c>
      <c r="R2212" t="str">
        <f>"9781606925171"</f>
        <v>9781606925171</v>
      </c>
      <c r="S2212" t="str">
        <f>"9781612098845"</f>
        <v>9781612098845</v>
      </c>
      <c r="T2212">
        <v>701062211</v>
      </c>
    </row>
    <row r="2213" spans="1:20" x14ac:dyDescent="0.25">
      <c r="A2213">
        <v>354328</v>
      </c>
      <c r="B2213" t="s">
        <v>10867</v>
      </c>
      <c r="C2213" t="s">
        <v>10868</v>
      </c>
      <c r="D2213" t="s">
        <v>2269</v>
      </c>
      <c r="E2213" t="s">
        <v>2269</v>
      </c>
      <c r="F2213">
        <v>2009</v>
      </c>
      <c r="G2213" t="s">
        <v>161</v>
      </c>
      <c r="H2213" t="s">
        <v>10869</v>
      </c>
      <c r="I2213" t="s">
        <v>10870</v>
      </c>
      <c r="J2213" t="s">
        <v>26</v>
      </c>
      <c r="K2213" t="s">
        <v>27</v>
      </c>
      <c r="L2213" t="b">
        <v>1</v>
      </c>
      <c r="M2213" t="s">
        <v>10871</v>
      </c>
      <c r="N2213" t="str">
        <f>"616.6/1075"</f>
        <v>616.6/1075</v>
      </c>
      <c r="P2213" t="b">
        <v>0</v>
      </c>
      <c r="Q2213" t="b">
        <v>0</v>
      </c>
      <c r="R2213" t="str">
        <f>"9781608767885"</f>
        <v>9781608767885</v>
      </c>
      <c r="S2213" t="str">
        <f>"9781612098722"</f>
        <v>9781612098722</v>
      </c>
      <c r="T2213">
        <v>704272899</v>
      </c>
    </row>
    <row r="2214" spans="1:20" x14ac:dyDescent="0.25">
      <c r="A2214">
        <v>354325</v>
      </c>
      <c r="B2214" t="s">
        <v>10872</v>
      </c>
      <c r="C2214" t="s">
        <v>10873</v>
      </c>
      <c r="D2214" t="s">
        <v>2269</v>
      </c>
      <c r="E2214" t="s">
        <v>2269</v>
      </c>
      <c r="F2214">
        <v>2009</v>
      </c>
      <c r="G2214" t="s">
        <v>9212</v>
      </c>
      <c r="H2214" t="s">
        <v>10874</v>
      </c>
      <c r="I2214" t="s">
        <v>10875</v>
      </c>
      <c r="J2214" t="s">
        <v>26</v>
      </c>
      <c r="K2214" t="s">
        <v>27</v>
      </c>
      <c r="L2214" t="b">
        <v>1</v>
      </c>
      <c r="M2214" t="s">
        <v>10876</v>
      </c>
      <c r="N2214" t="str">
        <f>"612.3/96"</f>
        <v>612.3/96</v>
      </c>
      <c r="P2214" t="b">
        <v>0</v>
      </c>
      <c r="Q2214" t="b">
        <v>0</v>
      </c>
      <c r="R2214" t="str">
        <f>"9781608769797"</f>
        <v>9781608769797</v>
      </c>
      <c r="S2214" t="str">
        <f>"9781612098692"</f>
        <v>9781612098692</v>
      </c>
      <c r="T2214">
        <v>704274913</v>
      </c>
    </row>
    <row r="2215" spans="1:20" x14ac:dyDescent="0.25">
      <c r="A2215">
        <v>354324</v>
      </c>
      <c r="B2215" t="s">
        <v>10877</v>
      </c>
      <c r="C2215" t="s">
        <v>10878</v>
      </c>
      <c r="D2215" t="s">
        <v>2269</v>
      </c>
      <c r="E2215" t="s">
        <v>2269</v>
      </c>
      <c r="F2215">
        <v>2009</v>
      </c>
      <c r="G2215" t="s">
        <v>8503</v>
      </c>
      <c r="H2215" t="s">
        <v>10879</v>
      </c>
      <c r="I2215" t="s">
        <v>10880</v>
      </c>
      <c r="J2215" t="s">
        <v>26</v>
      </c>
      <c r="K2215" t="s">
        <v>27</v>
      </c>
      <c r="L2215" t="b">
        <v>1</v>
      </c>
      <c r="M2215" t="s">
        <v>10881</v>
      </c>
      <c r="N2215" t="str">
        <f>"616.99/4"</f>
        <v>616.99/4</v>
      </c>
      <c r="O2215" t="s">
        <v>10267</v>
      </c>
      <c r="P2215" t="b">
        <v>0</v>
      </c>
      <c r="Q2215" t="b">
        <v>0</v>
      </c>
      <c r="R2215" t="str">
        <f>"9781608761937"</f>
        <v>9781608761937</v>
      </c>
      <c r="S2215" t="str">
        <f>"9781612098685"</f>
        <v>9781612098685</v>
      </c>
      <c r="T2215">
        <v>699511416</v>
      </c>
    </row>
    <row r="2216" spans="1:20" x14ac:dyDescent="0.25">
      <c r="A2216">
        <v>353733</v>
      </c>
      <c r="B2216" t="s">
        <v>10882</v>
      </c>
      <c r="D2216" t="s">
        <v>10883</v>
      </c>
      <c r="E2216" t="s">
        <v>10884</v>
      </c>
      <c r="F2216">
        <v>2010</v>
      </c>
      <c r="G2216" t="s">
        <v>10885</v>
      </c>
      <c r="H2216" t="s">
        <v>10886</v>
      </c>
      <c r="I2216" t="s">
        <v>10887</v>
      </c>
      <c r="J2216" t="s">
        <v>26</v>
      </c>
      <c r="K2216" t="s">
        <v>27</v>
      </c>
      <c r="L2216" t="b">
        <v>1</v>
      </c>
      <c r="M2216" t="s">
        <v>10888</v>
      </c>
      <c r="N2216" t="str">
        <f>"640.73"</f>
        <v>640.73</v>
      </c>
      <c r="P2216" t="b">
        <v>0</v>
      </c>
      <c r="R2216" t="str">
        <f>"9781607292265"</f>
        <v>9781607292265</v>
      </c>
      <c r="S2216" t="str">
        <f>"9781605572697"</f>
        <v>9781605572697</v>
      </c>
      <c r="T2216">
        <v>707637850</v>
      </c>
    </row>
    <row r="2217" spans="1:20" x14ac:dyDescent="0.25">
      <c r="A2217">
        <v>353731</v>
      </c>
      <c r="B2217" t="s">
        <v>10889</v>
      </c>
      <c r="D2217" t="s">
        <v>10883</v>
      </c>
      <c r="E2217" t="s">
        <v>10884</v>
      </c>
      <c r="F2217">
        <v>2001</v>
      </c>
      <c r="G2217" t="s">
        <v>10890</v>
      </c>
      <c r="H2217" t="s">
        <v>10891</v>
      </c>
      <c r="I2217" t="s">
        <v>10892</v>
      </c>
      <c r="J2217" t="s">
        <v>26</v>
      </c>
      <c r="K2217" t="s">
        <v>27</v>
      </c>
      <c r="L2217" t="b">
        <v>1</v>
      </c>
      <c r="M2217" t="s">
        <v>10888</v>
      </c>
      <c r="N2217" t="str">
        <f>"158.72"</f>
        <v>158.72</v>
      </c>
      <c r="O2217" t="s">
        <v>10889</v>
      </c>
      <c r="P2217" t="b">
        <v>0</v>
      </c>
      <c r="R2217" t="str">
        <f>"9780028639956"</f>
        <v>9780028639956</v>
      </c>
      <c r="S2217" t="str">
        <f>"9781605572635"</f>
        <v>9781605572635</v>
      </c>
      <c r="T2217">
        <v>710060648</v>
      </c>
    </row>
    <row r="2218" spans="1:20" x14ac:dyDescent="0.25">
      <c r="A2218">
        <v>352873</v>
      </c>
      <c r="B2218" t="s">
        <v>10893</v>
      </c>
      <c r="C2218" t="s">
        <v>10894</v>
      </c>
      <c r="D2218" t="s">
        <v>7757</v>
      </c>
      <c r="E2218" t="s">
        <v>7757</v>
      </c>
      <c r="F2218">
        <v>2010</v>
      </c>
      <c r="G2218" t="s">
        <v>4092</v>
      </c>
      <c r="H2218" t="s">
        <v>10895</v>
      </c>
      <c r="I2218" t="s">
        <v>10896</v>
      </c>
      <c r="J2218" t="s">
        <v>26</v>
      </c>
      <c r="K2218" t="s">
        <v>86</v>
      </c>
      <c r="L2218" t="b">
        <v>1</v>
      </c>
      <c r="M2218" t="s">
        <v>10897</v>
      </c>
      <c r="N2218" t="str">
        <f>"361.3/2"</f>
        <v>361.3/2</v>
      </c>
      <c r="P2218" t="b">
        <v>0</v>
      </c>
      <c r="R2218" t="str">
        <f>"9781849050036"</f>
        <v>9781849050036</v>
      </c>
      <c r="S2218" t="str">
        <f>"9780857003836"</f>
        <v>9780857003836</v>
      </c>
      <c r="T2218">
        <v>699510394</v>
      </c>
    </row>
    <row r="2219" spans="1:20" x14ac:dyDescent="0.25">
      <c r="A2219">
        <v>352760</v>
      </c>
      <c r="B2219" t="s">
        <v>10898</v>
      </c>
      <c r="D2219" t="s">
        <v>2269</v>
      </c>
      <c r="E2219" t="s">
        <v>2269</v>
      </c>
      <c r="F2219">
        <v>2009</v>
      </c>
      <c r="G2219" t="s">
        <v>161</v>
      </c>
      <c r="H2219" t="s">
        <v>10899</v>
      </c>
      <c r="I2219" t="s">
        <v>10900</v>
      </c>
      <c r="J2219" t="s">
        <v>26</v>
      </c>
      <c r="K2219" t="s">
        <v>27</v>
      </c>
      <c r="L2219" t="b">
        <v>1</v>
      </c>
      <c r="M2219" t="s">
        <v>10901</v>
      </c>
      <c r="N2219" t="str">
        <f>"616.6/1061"</f>
        <v>616.6/1061</v>
      </c>
      <c r="O2219" t="s">
        <v>10902</v>
      </c>
      <c r="P2219" t="b">
        <v>0</v>
      </c>
      <c r="Q2219" t="b">
        <v>0</v>
      </c>
      <c r="R2219" t="str">
        <f>"9781607419754"</f>
        <v>9781607419754</v>
      </c>
      <c r="S2219" t="str">
        <f>"9781612098678"</f>
        <v>9781612098678</v>
      </c>
      <c r="T2219">
        <v>699507753</v>
      </c>
    </row>
    <row r="2220" spans="1:20" x14ac:dyDescent="0.25">
      <c r="A2220">
        <v>352758</v>
      </c>
      <c r="B2220" t="s">
        <v>10903</v>
      </c>
      <c r="D2220" t="s">
        <v>2269</v>
      </c>
      <c r="E2220" t="s">
        <v>2269</v>
      </c>
      <c r="F2220">
        <v>2009</v>
      </c>
      <c r="G2220" t="s">
        <v>10904</v>
      </c>
      <c r="H2220" t="s">
        <v>10905</v>
      </c>
      <c r="I2220" t="s">
        <v>10906</v>
      </c>
      <c r="J2220" t="s">
        <v>26</v>
      </c>
      <c r="K2220" t="s">
        <v>27</v>
      </c>
      <c r="L2220" t="b">
        <v>1</v>
      </c>
      <c r="M2220" t="s">
        <v>10907</v>
      </c>
      <c r="N2220" t="str">
        <f>"515.43"</f>
        <v>515.43</v>
      </c>
      <c r="O2220" t="s">
        <v>9334</v>
      </c>
      <c r="P2220" t="b">
        <v>0</v>
      </c>
      <c r="Q2220" t="b">
        <v>0</v>
      </c>
      <c r="R2220" t="str">
        <f>"9781606927045"</f>
        <v>9781606927045</v>
      </c>
      <c r="S2220" t="str">
        <f>"9781612098654"</f>
        <v>9781612098654</v>
      </c>
      <c r="T2220">
        <v>699511268</v>
      </c>
    </row>
    <row r="2221" spans="1:20" x14ac:dyDescent="0.25">
      <c r="A2221">
        <v>352752</v>
      </c>
      <c r="B2221" t="s">
        <v>10908</v>
      </c>
      <c r="D2221" t="s">
        <v>2269</v>
      </c>
      <c r="E2221" t="s">
        <v>2269</v>
      </c>
      <c r="F2221">
        <v>2009</v>
      </c>
      <c r="G2221" t="s">
        <v>5884</v>
      </c>
      <c r="H2221" t="s">
        <v>10909</v>
      </c>
      <c r="I2221" t="s">
        <v>10910</v>
      </c>
      <c r="J2221" t="s">
        <v>26</v>
      </c>
      <c r="K2221" t="s">
        <v>27</v>
      </c>
      <c r="L2221" t="b">
        <v>1</v>
      </c>
      <c r="M2221" t="s">
        <v>8885</v>
      </c>
      <c r="N2221" t="str">
        <f>"614.5/18"</f>
        <v>614.5/18</v>
      </c>
      <c r="O2221" t="s">
        <v>9409</v>
      </c>
      <c r="P2221" t="b">
        <v>0</v>
      </c>
      <c r="Q2221" t="b">
        <v>0</v>
      </c>
      <c r="R2221" t="str">
        <f>"9781608762910"</f>
        <v>9781608762910</v>
      </c>
      <c r="S2221" t="str">
        <f>"9781612098593"</f>
        <v>9781612098593</v>
      </c>
      <c r="T2221">
        <v>699510433</v>
      </c>
    </row>
    <row r="2222" spans="1:20" x14ac:dyDescent="0.25">
      <c r="A2222">
        <v>352746</v>
      </c>
      <c r="B2222" t="s">
        <v>10911</v>
      </c>
      <c r="C2222" t="s">
        <v>10912</v>
      </c>
      <c r="D2222" t="s">
        <v>2269</v>
      </c>
      <c r="E2222" t="s">
        <v>2269</v>
      </c>
      <c r="F2222">
        <v>2009</v>
      </c>
      <c r="G2222" t="s">
        <v>10913</v>
      </c>
      <c r="H2222" t="s">
        <v>10914</v>
      </c>
      <c r="I2222" t="s">
        <v>10915</v>
      </c>
      <c r="J2222" t="s">
        <v>26</v>
      </c>
      <c r="K2222" t="s">
        <v>27</v>
      </c>
      <c r="L2222" t="b">
        <v>1</v>
      </c>
      <c r="M2222" t="s">
        <v>10916</v>
      </c>
      <c r="N2222" t="str">
        <f>"615.9/2539224"</f>
        <v>615.9/2539224</v>
      </c>
      <c r="P2222" t="b">
        <v>0</v>
      </c>
      <c r="Q2222" t="b">
        <v>0</v>
      </c>
      <c r="R2222" t="str">
        <f>"9781606920534"</f>
        <v>9781606920534</v>
      </c>
      <c r="S2222" t="str">
        <f>"9781612098531"</f>
        <v>9781612098531</v>
      </c>
      <c r="T2222">
        <v>709890793</v>
      </c>
    </row>
    <row r="2223" spans="1:20" x14ac:dyDescent="0.25">
      <c r="A2223">
        <v>352743</v>
      </c>
      <c r="B2223" t="s">
        <v>10917</v>
      </c>
      <c r="C2223" t="s">
        <v>10918</v>
      </c>
      <c r="D2223" t="s">
        <v>2269</v>
      </c>
      <c r="E2223" t="s">
        <v>2269</v>
      </c>
      <c r="F2223">
        <v>2009</v>
      </c>
      <c r="G2223" t="s">
        <v>10919</v>
      </c>
      <c r="H2223" t="s">
        <v>10920</v>
      </c>
      <c r="I2223" t="s">
        <v>10921</v>
      </c>
      <c r="J2223" t="s">
        <v>26</v>
      </c>
      <c r="K2223" t="s">
        <v>27</v>
      </c>
      <c r="L2223" t="b">
        <v>1</v>
      </c>
      <c r="M2223" t="s">
        <v>10922</v>
      </c>
      <c r="N2223" t="str">
        <f>"697.9/2"</f>
        <v>697.9/2</v>
      </c>
      <c r="O2223" t="s">
        <v>10923</v>
      </c>
      <c r="P2223" t="b">
        <v>0</v>
      </c>
      <c r="Q2223" t="b">
        <v>0</v>
      </c>
      <c r="R2223" t="str">
        <f>"9781607410416"</f>
        <v>9781607410416</v>
      </c>
      <c r="S2223" t="str">
        <f>"9781612098500"</f>
        <v>9781612098500</v>
      </c>
      <c r="T2223">
        <v>704434449</v>
      </c>
    </row>
    <row r="2224" spans="1:20" x14ac:dyDescent="0.25">
      <c r="A2224">
        <v>352742</v>
      </c>
      <c r="B2224" t="s">
        <v>10924</v>
      </c>
      <c r="D2224" t="s">
        <v>2269</v>
      </c>
      <c r="E2224" t="s">
        <v>2269</v>
      </c>
      <c r="F2224">
        <v>2009</v>
      </c>
      <c r="G2224" t="s">
        <v>9145</v>
      </c>
      <c r="H2224" t="s">
        <v>10925</v>
      </c>
      <c r="I2224" t="s">
        <v>10926</v>
      </c>
      <c r="J2224" t="s">
        <v>26</v>
      </c>
      <c r="K2224" t="s">
        <v>27</v>
      </c>
      <c r="L2224" t="b">
        <v>1</v>
      </c>
      <c r="M2224" t="s">
        <v>10927</v>
      </c>
      <c r="N2224" t="str">
        <f>"613.2/8"</f>
        <v>613.2/8</v>
      </c>
      <c r="P2224" t="b">
        <v>0</v>
      </c>
      <c r="Q2224" t="b">
        <v>0</v>
      </c>
      <c r="R2224" t="str">
        <f>"9781606920060"</f>
        <v>9781606920060</v>
      </c>
      <c r="S2224" t="str">
        <f>"9781612098197"</f>
        <v>9781612098197</v>
      </c>
      <c r="T2224">
        <v>704300391</v>
      </c>
    </row>
    <row r="2225" spans="1:20" x14ac:dyDescent="0.25">
      <c r="A2225">
        <v>352731</v>
      </c>
      <c r="B2225" t="s">
        <v>10928</v>
      </c>
      <c r="C2225" t="s">
        <v>10929</v>
      </c>
      <c r="D2225" t="s">
        <v>2269</v>
      </c>
      <c r="E2225" t="s">
        <v>2269</v>
      </c>
      <c r="F2225">
        <v>2009</v>
      </c>
      <c r="G2225" t="s">
        <v>10930</v>
      </c>
      <c r="H2225" t="s">
        <v>10931</v>
      </c>
      <c r="I2225" t="s">
        <v>10932</v>
      </c>
      <c r="J2225" t="s">
        <v>26</v>
      </c>
      <c r="K2225" t="s">
        <v>27</v>
      </c>
      <c r="L2225" t="b">
        <v>1</v>
      </c>
      <c r="M2225" t="s">
        <v>10933</v>
      </c>
      <c r="N2225" t="str">
        <f>"621.384/191"</f>
        <v>621.384/191</v>
      </c>
      <c r="O2225" t="s">
        <v>10934</v>
      </c>
      <c r="P2225" t="b">
        <v>0</v>
      </c>
      <c r="Q2225" t="b">
        <v>0</v>
      </c>
      <c r="R2225" t="str">
        <f>"9781607413462"</f>
        <v>9781607413462</v>
      </c>
      <c r="S2225" t="str">
        <f>"9781612098081"</f>
        <v>9781612098081</v>
      </c>
      <c r="T2225">
        <v>704294188</v>
      </c>
    </row>
    <row r="2226" spans="1:20" x14ac:dyDescent="0.25">
      <c r="A2226">
        <v>352259</v>
      </c>
      <c r="B2226" t="s">
        <v>10935</v>
      </c>
      <c r="D2226" t="s">
        <v>2269</v>
      </c>
      <c r="E2226" t="s">
        <v>2269</v>
      </c>
      <c r="F2226">
        <v>2009</v>
      </c>
      <c r="G2226" t="s">
        <v>8690</v>
      </c>
      <c r="H2226" t="s">
        <v>10936</v>
      </c>
      <c r="I2226" t="s">
        <v>10937</v>
      </c>
      <c r="J2226" t="s">
        <v>26</v>
      </c>
      <c r="K2226" t="s">
        <v>27</v>
      </c>
      <c r="L2226" t="b">
        <v>1</v>
      </c>
      <c r="M2226" t="s">
        <v>10938</v>
      </c>
      <c r="N2226" t="str">
        <f>"616.3/5"</f>
        <v>616.3/5</v>
      </c>
      <c r="P2226" t="b">
        <v>0</v>
      </c>
      <c r="Q2226" t="b">
        <v>0</v>
      </c>
      <c r="R2226" t="str">
        <f>"9781608760725"</f>
        <v>9781608760725</v>
      </c>
      <c r="S2226" t="str">
        <f>"9781612098067"</f>
        <v>9781612098067</v>
      </c>
      <c r="T2226">
        <v>698114963</v>
      </c>
    </row>
    <row r="2227" spans="1:20" x14ac:dyDescent="0.25">
      <c r="A2227">
        <v>352253</v>
      </c>
      <c r="B2227" t="s">
        <v>10939</v>
      </c>
      <c r="C2227" t="s">
        <v>10940</v>
      </c>
      <c r="D2227" t="s">
        <v>2269</v>
      </c>
      <c r="E2227" t="s">
        <v>2269</v>
      </c>
      <c r="F2227">
        <v>2009</v>
      </c>
      <c r="G2227" t="s">
        <v>4132</v>
      </c>
      <c r="H2227" t="s">
        <v>10941</v>
      </c>
      <c r="I2227" t="s">
        <v>10942</v>
      </c>
      <c r="J2227" t="s">
        <v>26</v>
      </c>
      <c r="K2227" t="s">
        <v>27</v>
      </c>
      <c r="L2227" t="b">
        <v>1</v>
      </c>
      <c r="M2227" t="s">
        <v>10943</v>
      </c>
      <c r="N2227" t="str">
        <f>"363.738/7456"</f>
        <v>363.738/7456</v>
      </c>
      <c r="O2227" t="s">
        <v>10944</v>
      </c>
      <c r="P2227" t="b">
        <v>0</v>
      </c>
      <c r="Q2227" t="b">
        <v>0</v>
      </c>
      <c r="R2227" t="str">
        <f>"9781607412335"</f>
        <v>9781607412335</v>
      </c>
      <c r="S2227" t="str">
        <f>"9781612098005"</f>
        <v>9781612098005</v>
      </c>
      <c r="T2227">
        <v>698111664</v>
      </c>
    </row>
    <row r="2228" spans="1:20" x14ac:dyDescent="0.25">
      <c r="A2228">
        <v>352250</v>
      </c>
      <c r="B2228" t="s">
        <v>10945</v>
      </c>
      <c r="D2228" t="s">
        <v>2269</v>
      </c>
      <c r="E2228" t="s">
        <v>2269</v>
      </c>
      <c r="F2228">
        <v>2009</v>
      </c>
      <c r="G2228" t="s">
        <v>355</v>
      </c>
      <c r="H2228" t="s">
        <v>10946</v>
      </c>
      <c r="I2228" t="s">
        <v>10947</v>
      </c>
      <c r="J2228" t="s">
        <v>26</v>
      </c>
      <c r="K2228" t="s">
        <v>27</v>
      </c>
      <c r="L2228" t="b">
        <v>1</v>
      </c>
      <c r="M2228" t="s">
        <v>10948</v>
      </c>
      <c r="N2228" t="str">
        <f>"671"</f>
        <v>671</v>
      </c>
      <c r="P2228" t="b">
        <v>0</v>
      </c>
      <c r="Q2228" t="b">
        <v>0</v>
      </c>
      <c r="R2228" t="str">
        <f>"9781604569261"</f>
        <v>9781604569261</v>
      </c>
      <c r="S2228" t="str">
        <f>"9781612097671"</f>
        <v>9781612097671</v>
      </c>
      <c r="T2228">
        <v>698110334</v>
      </c>
    </row>
    <row r="2229" spans="1:20" x14ac:dyDescent="0.25">
      <c r="A2229">
        <v>352249</v>
      </c>
      <c r="B2229" t="s">
        <v>10949</v>
      </c>
      <c r="D2229" t="s">
        <v>2269</v>
      </c>
      <c r="E2229" t="s">
        <v>2269</v>
      </c>
      <c r="F2229">
        <v>2009</v>
      </c>
      <c r="G2229" t="s">
        <v>722</v>
      </c>
      <c r="H2229" t="s">
        <v>10950</v>
      </c>
      <c r="I2229" t="s">
        <v>10951</v>
      </c>
      <c r="J2229" t="s">
        <v>26</v>
      </c>
      <c r="K2229" t="s">
        <v>27</v>
      </c>
      <c r="L2229" t="b">
        <v>1</v>
      </c>
      <c r="M2229" t="s">
        <v>10952</v>
      </c>
      <c r="N2229" t="str">
        <f>"617.7/1"</f>
        <v>617.7/1</v>
      </c>
      <c r="O2229" t="s">
        <v>10953</v>
      </c>
      <c r="P2229" t="b">
        <v>0</v>
      </c>
      <c r="Q2229" t="b">
        <v>0</v>
      </c>
      <c r="R2229" t="str">
        <f>"9781606926307"</f>
        <v>9781606926307</v>
      </c>
      <c r="S2229" t="str">
        <f>"9781612097664"</f>
        <v>9781612097664</v>
      </c>
      <c r="T2229">
        <v>698110340</v>
      </c>
    </row>
    <row r="2230" spans="1:20" x14ac:dyDescent="0.25">
      <c r="A2230">
        <v>352243</v>
      </c>
      <c r="B2230" t="s">
        <v>10954</v>
      </c>
      <c r="D2230" t="s">
        <v>2269</v>
      </c>
      <c r="E2230" t="s">
        <v>2269</v>
      </c>
      <c r="F2230">
        <v>2009</v>
      </c>
      <c r="G2230" t="s">
        <v>8580</v>
      </c>
      <c r="H2230" t="s">
        <v>10955</v>
      </c>
      <c r="I2230" t="s">
        <v>10956</v>
      </c>
      <c r="J2230" t="s">
        <v>26</v>
      </c>
      <c r="K2230" t="s">
        <v>27</v>
      </c>
      <c r="L2230" t="b">
        <v>1</v>
      </c>
      <c r="M2230" t="s">
        <v>10957</v>
      </c>
      <c r="N2230" t="str">
        <f>"615/.34"</f>
        <v>615/.34</v>
      </c>
      <c r="O2230" t="s">
        <v>10958</v>
      </c>
      <c r="P2230" t="b">
        <v>0</v>
      </c>
      <c r="Q2230" t="b">
        <v>0</v>
      </c>
      <c r="R2230" t="str">
        <f>"9781607411512"</f>
        <v>9781607411512</v>
      </c>
      <c r="S2230" t="str">
        <f>"9781612097602"</f>
        <v>9781612097602</v>
      </c>
      <c r="T2230">
        <v>698111662</v>
      </c>
    </row>
    <row r="2231" spans="1:20" x14ac:dyDescent="0.25">
      <c r="A2231">
        <v>352240</v>
      </c>
      <c r="B2231" t="s">
        <v>10959</v>
      </c>
      <c r="D2231" t="s">
        <v>2269</v>
      </c>
      <c r="E2231" t="s">
        <v>2269</v>
      </c>
      <c r="F2231">
        <v>2009</v>
      </c>
      <c r="G2231" t="s">
        <v>10960</v>
      </c>
      <c r="H2231" t="s">
        <v>10961</v>
      </c>
      <c r="I2231" t="s">
        <v>10962</v>
      </c>
      <c r="J2231" t="s">
        <v>26</v>
      </c>
      <c r="K2231" t="s">
        <v>27</v>
      </c>
      <c r="L2231" t="b">
        <v>1</v>
      </c>
      <c r="M2231" t="s">
        <v>10963</v>
      </c>
      <c r="N2231" t="str">
        <f>"363.34/936"</f>
        <v>363.34/936</v>
      </c>
      <c r="P2231" t="b">
        <v>0</v>
      </c>
      <c r="Q2231" t="b">
        <v>0</v>
      </c>
      <c r="R2231" t="str">
        <f>"9781606921470"</f>
        <v>9781606921470</v>
      </c>
      <c r="S2231" t="str">
        <f>"9781612097572"</f>
        <v>9781612097572</v>
      </c>
      <c r="T2231">
        <v>698110365</v>
      </c>
    </row>
    <row r="2232" spans="1:20" x14ac:dyDescent="0.25">
      <c r="A2232">
        <v>352239</v>
      </c>
      <c r="B2232" t="s">
        <v>10964</v>
      </c>
      <c r="C2232" t="s">
        <v>10965</v>
      </c>
      <c r="D2232" t="s">
        <v>2269</v>
      </c>
      <c r="E2232" t="s">
        <v>2269</v>
      </c>
      <c r="F2232">
        <v>2009</v>
      </c>
      <c r="G2232" t="s">
        <v>400</v>
      </c>
      <c r="H2232" t="s">
        <v>10966</v>
      </c>
      <c r="I2232" t="s">
        <v>10967</v>
      </c>
      <c r="J2232" t="s">
        <v>26</v>
      </c>
      <c r="K2232" t="s">
        <v>27</v>
      </c>
      <c r="L2232" t="b">
        <v>1</v>
      </c>
      <c r="M2232" t="s">
        <v>10968</v>
      </c>
      <c r="N2232" t="str">
        <f>"628.5/32"</f>
        <v>628.5/32</v>
      </c>
      <c r="P2232" t="b">
        <v>0</v>
      </c>
      <c r="Q2232" t="b">
        <v>0</v>
      </c>
      <c r="R2232" t="str">
        <f>"9781606924495"</f>
        <v>9781606924495</v>
      </c>
      <c r="S2232" t="str">
        <f>"9781612097565"</f>
        <v>9781612097565</v>
      </c>
      <c r="T2232">
        <v>698110345</v>
      </c>
    </row>
    <row r="2233" spans="1:20" x14ac:dyDescent="0.25">
      <c r="A2233">
        <v>352238</v>
      </c>
      <c r="B2233" t="s">
        <v>10969</v>
      </c>
      <c r="D2233" t="s">
        <v>2269</v>
      </c>
      <c r="E2233" t="s">
        <v>2269</v>
      </c>
      <c r="F2233">
        <v>2009</v>
      </c>
      <c r="G2233" t="s">
        <v>10970</v>
      </c>
      <c r="H2233" t="s">
        <v>10971</v>
      </c>
      <c r="I2233" t="s">
        <v>10972</v>
      </c>
      <c r="J2233" t="s">
        <v>26</v>
      </c>
      <c r="K2233" t="s">
        <v>27</v>
      </c>
      <c r="L2233" t="b">
        <v>1</v>
      </c>
      <c r="M2233" t="s">
        <v>8885</v>
      </c>
      <c r="N2233" t="str">
        <f>"649/.33"</f>
        <v>649/.33</v>
      </c>
      <c r="O2233" t="s">
        <v>10973</v>
      </c>
      <c r="P2233" t="b">
        <v>0</v>
      </c>
      <c r="Q2233" t="b">
        <v>0</v>
      </c>
      <c r="R2233" t="str">
        <f>"9781607411062"</f>
        <v>9781607411062</v>
      </c>
      <c r="S2233" t="str">
        <f>"9781612097558"</f>
        <v>9781612097558</v>
      </c>
      <c r="T2233">
        <v>698110366</v>
      </c>
    </row>
    <row r="2234" spans="1:20" x14ac:dyDescent="0.25">
      <c r="A2234">
        <v>352237</v>
      </c>
      <c r="B2234" t="s">
        <v>10974</v>
      </c>
      <c r="D2234" t="s">
        <v>2269</v>
      </c>
      <c r="E2234" t="s">
        <v>2269</v>
      </c>
      <c r="F2234">
        <v>2009</v>
      </c>
      <c r="G2234" t="s">
        <v>4186</v>
      </c>
      <c r="H2234" t="s">
        <v>10975</v>
      </c>
      <c r="I2234" t="s">
        <v>10976</v>
      </c>
      <c r="J2234" t="s">
        <v>26</v>
      </c>
      <c r="K2234" t="s">
        <v>27</v>
      </c>
      <c r="L2234" t="b">
        <v>1</v>
      </c>
      <c r="M2234" t="s">
        <v>8885</v>
      </c>
      <c r="N2234" t="str">
        <f>"579.2/562"</f>
        <v>579.2/562</v>
      </c>
      <c r="P2234" t="b">
        <v>0</v>
      </c>
      <c r="Q2234" t="b">
        <v>0</v>
      </c>
      <c r="R2234" t="str">
        <f>"9781607411925"</f>
        <v>9781607411925</v>
      </c>
      <c r="S2234" t="str">
        <f>"9781612097541"</f>
        <v>9781612097541</v>
      </c>
      <c r="T2234">
        <v>701719360</v>
      </c>
    </row>
    <row r="2235" spans="1:20" x14ac:dyDescent="0.25">
      <c r="A2235">
        <v>352236</v>
      </c>
      <c r="B2235" t="s">
        <v>10977</v>
      </c>
      <c r="D2235" t="s">
        <v>2269</v>
      </c>
      <c r="E2235" t="s">
        <v>2269</v>
      </c>
      <c r="F2235">
        <v>2009</v>
      </c>
      <c r="G2235" t="s">
        <v>7367</v>
      </c>
      <c r="H2235" t="s">
        <v>10978</v>
      </c>
      <c r="I2235" t="s">
        <v>10979</v>
      </c>
      <c r="J2235" t="s">
        <v>26</v>
      </c>
      <c r="K2235" t="s">
        <v>27</v>
      </c>
      <c r="L2235" t="b">
        <v>1</v>
      </c>
      <c r="M2235" t="s">
        <v>10980</v>
      </c>
      <c r="N2235" t="str">
        <f>"616.4/4"</f>
        <v>616.4/4</v>
      </c>
      <c r="P2235" t="b">
        <v>0</v>
      </c>
      <c r="Q2235" t="b">
        <v>0</v>
      </c>
      <c r="R2235" t="str">
        <f>"9781594546266"</f>
        <v>9781594546266</v>
      </c>
      <c r="S2235" t="str">
        <f>"9781612097534"</f>
        <v>9781612097534</v>
      </c>
      <c r="T2235">
        <v>698110363</v>
      </c>
    </row>
    <row r="2236" spans="1:20" x14ac:dyDescent="0.25">
      <c r="A2236">
        <v>351594</v>
      </c>
      <c r="B2236" t="s">
        <v>10981</v>
      </c>
      <c r="D2236" t="s">
        <v>2269</v>
      </c>
      <c r="E2236" t="s">
        <v>2269</v>
      </c>
      <c r="F2236">
        <v>2009</v>
      </c>
      <c r="G2236" t="s">
        <v>10982</v>
      </c>
      <c r="H2236" t="s">
        <v>10983</v>
      </c>
      <c r="I2236" t="s">
        <v>10984</v>
      </c>
      <c r="J2236" t="s">
        <v>26</v>
      </c>
      <c r="K2236" t="s">
        <v>27</v>
      </c>
      <c r="L2236" t="b">
        <v>1</v>
      </c>
      <c r="M2236" t="s">
        <v>10985</v>
      </c>
      <c r="N2236" t="str">
        <f>"612.8/233"</f>
        <v>612.8/233</v>
      </c>
      <c r="O2236" t="s">
        <v>10981</v>
      </c>
      <c r="P2236" t="b">
        <v>0</v>
      </c>
      <c r="Q2236" t="b">
        <v>0</v>
      </c>
      <c r="R2236" t="str">
        <f>"9781604567755"</f>
        <v>9781604567755</v>
      </c>
      <c r="S2236" t="str">
        <f>"9781612093840"</f>
        <v>9781612093840</v>
      </c>
      <c r="T2236">
        <v>697182169</v>
      </c>
    </row>
    <row r="2237" spans="1:20" x14ac:dyDescent="0.25">
      <c r="A2237">
        <v>351239</v>
      </c>
      <c r="B2237" t="s">
        <v>10986</v>
      </c>
      <c r="D2237" t="s">
        <v>2269</v>
      </c>
      <c r="E2237" t="s">
        <v>2269</v>
      </c>
      <c r="F2237">
        <v>2009</v>
      </c>
      <c r="G2237" t="s">
        <v>9553</v>
      </c>
      <c r="H2237" t="s">
        <v>10987</v>
      </c>
      <c r="I2237" t="s">
        <v>10988</v>
      </c>
      <c r="J2237" t="s">
        <v>26</v>
      </c>
      <c r="K2237" t="s">
        <v>27</v>
      </c>
      <c r="L2237" t="b">
        <v>1</v>
      </c>
      <c r="M2237" t="s">
        <v>10989</v>
      </c>
      <c r="N2237" t="str">
        <f>"620.1/923"</f>
        <v>620.1/923</v>
      </c>
      <c r="O2237" t="s">
        <v>10990</v>
      </c>
      <c r="P2237" t="b">
        <v>0</v>
      </c>
      <c r="Q2237" t="b">
        <v>0</v>
      </c>
      <c r="R2237" t="str">
        <f>"9781607418641"</f>
        <v>9781607418641</v>
      </c>
      <c r="S2237" t="str">
        <f>"9781616685317"</f>
        <v>9781616685317</v>
      </c>
      <c r="T2237">
        <v>704436140</v>
      </c>
    </row>
    <row r="2238" spans="1:20" x14ac:dyDescent="0.25">
      <c r="A2238">
        <v>351237</v>
      </c>
      <c r="B2238" t="s">
        <v>10991</v>
      </c>
      <c r="D2238" t="s">
        <v>2269</v>
      </c>
      <c r="E2238" t="s">
        <v>8996</v>
      </c>
      <c r="F2238">
        <v>2009</v>
      </c>
      <c r="G2238" t="s">
        <v>45</v>
      </c>
      <c r="H2238" t="s">
        <v>10992</v>
      </c>
      <c r="I2238" t="s">
        <v>10993</v>
      </c>
      <c r="J2238" t="s">
        <v>26</v>
      </c>
      <c r="K2238" t="s">
        <v>27</v>
      </c>
      <c r="L2238" t="b">
        <v>1</v>
      </c>
      <c r="M2238" t="s">
        <v>10994</v>
      </c>
      <c r="N2238" t="str">
        <f>"612.8/25"</f>
        <v>612.8/25</v>
      </c>
      <c r="P2238" t="b">
        <v>0</v>
      </c>
      <c r="Q2238" t="b">
        <v>0</v>
      </c>
      <c r="R2238" t="str">
        <f>"9781606924150"</f>
        <v>9781606924150</v>
      </c>
      <c r="S2238" t="str">
        <f>"9781617287947"</f>
        <v>9781617287947</v>
      </c>
      <c r="T2238">
        <v>697175232</v>
      </c>
    </row>
    <row r="2239" spans="1:20" x14ac:dyDescent="0.25">
      <c r="A2239">
        <v>351227</v>
      </c>
      <c r="B2239" t="s">
        <v>10995</v>
      </c>
      <c r="D2239" t="s">
        <v>2269</v>
      </c>
      <c r="E2239" t="s">
        <v>2269</v>
      </c>
      <c r="F2239">
        <v>2009</v>
      </c>
      <c r="G2239" t="s">
        <v>8669</v>
      </c>
      <c r="H2239" t="s">
        <v>10996</v>
      </c>
      <c r="I2239" t="s">
        <v>10997</v>
      </c>
      <c r="J2239" t="s">
        <v>26</v>
      </c>
      <c r="K2239" t="s">
        <v>27</v>
      </c>
      <c r="L2239" t="b">
        <v>1</v>
      </c>
      <c r="M2239" t="s">
        <v>10998</v>
      </c>
      <c r="N2239" t="str">
        <f>"616.99/446"</f>
        <v>616.99/446</v>
      </c>
      <c r="P2239" t="b">
        <v>0</v>
      </c>
      <c r="Q2239" t="b">
        <v>0</v>
      </c>
      <c r="R2239" t="str">
        <f>"9781607410089"</f>
        <v>9781607410089</v>
      </c>
      <c r="S2239" t="str">
        <f>"9781612097510"</f>
        <v>9781612097510</v>
      </c>
      <c r="T2239">
        <v>695991314</v>
      </c>
    </row>
    <row r="2240" spans="1:20" x14ac:dyDescent="0.25">
      <c r="A2240">
        <v>351224</v>
      </c>
      <c r="B2240" t="s">
        <v>10999</v>
      </c>
      <c r="D2240" t="s">
        <v>2269</v>
      </c>
      <c r="E2240" t="s">
        <v>2269</v>
      </c>
      <c r="F2240">
        <v>2009</v>
      </c>
      <c r="G2240" t="s">
        <v>11000</v>
      </c>
      <c r="H2240" t="s">
        <v>11001</v>
      </c>
      <c r="I2240" t="s">
        <v>11002</v>
      </c>
      <c r="J2240" t="s">
        <v>26</v>
      </c>
      <c r="K2240" t="s">
        <v>27</v>
      </c>
      <c r="L2240" t="b">
        <v>1</v>
      </c>
      <c r="M2240" t="s">
        <v>11003</v>
      </c>
      <c r="N2240" t="str">
        <f>"363.19/20973"</f>
        <v>363.19/20973</v>
      </c>
      <c r="P2240" t="b">
        <v>0</v>
      </c>
      <c r="Q2240" t="b">
        <v>0</v>
      </c>
      <c r="R2240" t="str">
        <f>"9781606921876"</f>
        <v>9781606921876</v>
      </c>
      <c r="S2240" t="str">
        <f>"9781612097381"</f>
        <v>9781612097381</v>
      </c>
      <c r="T2240">
        <v>704432655</v>
      </c>
    </row>
    <row r="2241" spans="1:20" x14ac:dyDescent="0.25">
      <c r="A2241">
        <v>351220</v>
      </c>
      <c r="B2241" t="s">
        <v>11004</v>
      </c>
      <c r="D2241" t="s">
        <v>2269</v>
      </c>
      <c r="E2241" t="s">
        <v>2269</v>
      </c>
      <c r="F2241">
        <v>2009</v>
      </c>
      <c r="G2241" t="s">
        <v>767</v>
      </c>
      <c r="H2241" t="s">
        <v>11005</v>
      </c>
      <c r="I2241" t="s">
        <v>11006</v>
      </c>
      <c r="J2241" t="s">
        <v>26</v>
      </c>
      <c r="K2241" t="s">
        <v>27</v>
      </c>
      <c r="L2241" t="b">
        <v>1</v>
      </c>
      <c r="M2241" t="s">
        <v>8885</v>
      </c>
      <c r="N2241" t="str">
        <f>"616.07/56"</f>
        <v>616.07/56</v>
      </c>
      <c r="P2241" t="b">
        <v>0</v>
      </c>
      <c r="Q2241" t="b">
        <v>0</v>
      </c>
      <c r="R2241" t="str">
        <f>"9781606925850"</f>
        <v>9781606925850</v>
      </c>
      <c r="S2241" t="str">
        <f>"9781607414131"</f>
        <v>9781607414131</v>
      </c>
      <c r="T2241">
        <v>695991312</v>
      </c>
    </row>
    <row r="2242" spans="1:20" x14ac:dyDescent="0.25">
      <c r="A2242">
        <v>350622</v>
      </c>
      <c r="B2242" t="s">
        <v>11007</v>
      </c>
      <c r="C2242" t="s">
        <v>11008</v>
      </c>
      <c r="D2242" t="s">
        <v>2269</v>
      </c>
      <c r="E2242" t="s">
        <v>2269</v>
      </c>
      <c r="F2242">
        <v>2009</v>
      </c>
      <c r="G2242" t="s">
        <v>11009</v>
      </c>
      <c r="H2242" t="s">
        <v>11010</v>
      </c>
      <c r="I2242" t="s">
        <v>11011</v>
      </c>
      <c r="J2242" t="s">
        <v>26</v>
      </c>
      <c r="K2242" t="s">
        <v>27</v>
      </c>
      <c r="L2242" t="b">
        <v>1</v>
      </c>
      <c r="M2242" t="s">
        <v>11012</v>
      </c>
      <c r="N2242" t="str">
        <f>"681/.25"</f>
        <v>681/.25</v>
      </c>
      <c r="O2242" t="s">
        <v>11013</v>
      </c>
      <c r="P2242" t="b">
        <v>0</v>
      </c>
      <c r="Q2242" t="b">
        <v>0</v>
      </c>
      <c r="R2242" t="str">
        <f>"9781604564570"</f>
        <v>9781604564570</v>
      </c>
      <c r="S2242" t="str">
        <f>"9781612097329"</f>
        <v>9781612097329</v>
      </c>
      <c r="T2242">
        <v>694792705</v>
      </c>
    </row>
    <row r="2243" spans="1:20" x14ac:dyDescent="0.25">
      <c r="A2243">
        <v>350621</v>
      </c>
      <c r="B2243" t="s">
        <v>11014</v>
      </c>
      <c r="C2243" t="s">
        <v>11015</v>
      </c>
      <c r="D2243" t="s">
        <v>2269</v>
      </c>
      <c r="E2243" t="s">
        <v>2269</v>
      </c>
      <c r="F2243">
        <v>2009</v>
      </c>
      <c r="G2243" t="s">
        <v>11000</v>
      </c>
      <c r="H2243" t="s">
        <v>11016</v>
      </c>
      <c r="I2243" t="s">
        <v>11017</v>
      </c>
      <c r="J2243" t="s">
        <v>26</v>
      </c>
      <c r="K2243" t="s">
        <v>27</v>
      </c>
      <c r="L2243" t="b">
        <v>1</v>
      </c>
      <c r="M2243" t="s">
        <v>11018</v>
      </c>
      <c r="N2243" t="str">
        <f>"363.19/2"</f>
        <v>363.19/2</v>
      </c>
      <c r="P2243" t="b">
        <v>0</v>
      </c>
      <c r="Q2243" t="b">
        <v>0</v>
      </c>
      <c r="R2243" t="str">
        <f>"9781606926314"</f>
        <v>9781606926314</v>
      </c>
      <c r="S2243" t="str">
        <f>"9781612097312"</f>
        <v>9781612097312</v>
      </c>
      <c r="T2243">
        <v>694792694</v>
      </c>
    </row>
    <row r="2244" spans="1:20" x14ac:dyDescent="0.25">
      <c r="A2244">
        <v>350619</v>
      </c>
      <c r="B2244" t="s">
        <v>11019</v>
      </c>
      <c r="D2244" t="s">
        <v>2269</v>
      </c>
      <c r="E2244" t="s">
        <v>2269</v>
      </c>
      <c r="F2244">
        <v>2009</v>
      </c>
      <c r="G2244" t="s">
        <v>394</v>
      </c>
      <c r="H2244" t="s">
        <v>11020</v>
      </c>
      <c r="I2244" t="s">
        <v>11021</v>
      </c>
      <c r="J2244" t="s">
        <v>26</v>
      </c>
      <c r="K2244" t="s">
        <v>27</v>
      </c>
      <c r="L2244" t="b">
        <v>1</v>
      </c>
      <c r="M2244" t="s">
        <v>11022</v>
      </c>
      <c r="N2244" t="str">
        <f>"621.402/5"</f>
        <v>621.402/5</v>
      </c>
      <c r="P2244" t="b">
        <v>0</v>
      </c>
      <c r="Q2244" t="b">
        <v>0</v>
      </c>
      <c r="R2244" t="str">
        <f>"9781607410584"</f>
        <v>9781607410584</v>
      </c>
      <c r="S2244" t="str">
        <f>"9781612096995"</f>
        <v>9781612096995</v>
      </c>
      <c r="T2244">
        <v>694791465</v>
      </c>
    </row>
    <row r="2245" spans="1:20" x14ac:dyDescent="0.25">
      <c r="A2245">
        <v>350618</v>
      </c>
      <c r="B2245" t="s">
        <v>11023</v>
      </c>
      <c r="D2245" t="s">
        <v>2269</v>
      </c>
      <c r="E2245" t="s">
        <v>2269</v>
      </c>
      <c r="F2245">
        <v>2009</v>
      </c>
      <c r="G2245" t="s">
        <v>8793</v>
      </c>
      <c r="H2245" t="s">
        <v>11024</v>
      </c>
      <c r="I2245" t="s">
        <v>11025</v>
      </c>
      <c r="J2245" t="s">
        <v>26</v>
      </c>
      <c r="K2245" t="s">
        <v>27</v>
      </c>
      <c r="L2245" t="b">
        <v>1</v>
      </c>
      <c r="M2245" t="s">
        <v>11026</v>
      </c>
      <c r="N2245" t="str">
        <f>"621.48/38"</f>
        <v>621.48/38</v>
      </c>
      <c r="P2245" t="b">
        <v>0</v>
      </c>
      <c r="Q2245" t="b">
        <v>0</v>
      </c>
      <c r="R2245" t="str">
        <f>"9781604561746"</f>
        <v>9781604561746</v>
      </c>
      <c r="S2245" t="str">
        <f>"9781612096988"</f>
        <v>9781612096988</v>
      </c>
      <c r="T2245">
        <v>694792711</v>
      </c>
    </row>
    <row r="2246" spans="1:20" x14ac:dyDescent="0.25">
      <c r="A2246">
        <v>350616</v>
      </c>
      <c r="B2246" t="s">
        <v>11027</v>
      </c>
      <c r="C2246" t="s">
        <v>7373</v>
      </c>
      <c r="D2246" t="s">
        <v>2269</v>
      </c>
      <c r="E2246" t="s">
        <v>2269</v>
      </c>
      <c r="F2246">
        <v>2009</v>
      </c>
      <c r="G2246" t="s">
        <v>400</v>
      </c>
      <c r="H2246" t="s">
        <v>11028</v>
      </c>
      <c r="I2246" t="s">
        <v>9091</v>
      </c>
      <c r="J2246" t="s">
        <v>26</v>
      </c>
      <c r="K2246" t="s">
        <v>27</v>
      </c>
      <c r="L2246" t="b">
        <v>1</v>
      </c>
      <c r="M2246" t="s">
        <v>11029</v>
      </c>
      <c r="N2246" t="str">
        <f>"628.4/458"</f>
        <v>628.4/458</v>
      </c>
      <c r="P2246" t="b">
        <v>0</v>
      </c>
      <c r="Q2246" t="b">
        <v>0</v>
      </c>
      <c r="R2246" t="str">
        <f>"9781604568318"</f>
        <v>9781604568318</v>
      </c>
      <c r="S2246" t="str">
        <f>"9781612096964"</f>
        <v>9781612096964</v>
      </c>
      <c r="T2246">
        <v>701719805</v>
      </c>
    </row>
    <row r="2247" spans="1:20" x14ac:dyDescent="0.25">
      <c r="A2247">
        <v>350614</v>
      </c>
      <c r="B2247" t="s">
        <v>11030</v>
      </c>
      <c r="D2247" t="s">
        <v>2269</v>
      </c>
      <c r="E2247" t="s">
        <v>2269</v>
      </c>
      <c r="F2247">
        <v>2009</v>
      </c>
      <c r="G2247" t="s">
        <v>8669</v>
      </c>
      <c r="H2247" t="s">
        <v>11031</v>
      </c>
      <c r="I2247" t="s">
        <v>11032</v>
      </c>
      <c r="J2247" t="s">
        <v>26</v>
      </c>
      <c r="K2247" t="s">
        <v>27</v>
      </c>
      <c r="L2247" t="b">
        <v>1</v>
      </c>
      <c r="M2247" t="s">
        <v>11033</v>
      </c>
      <c r="N2247" t="str">
        <f>"616.99/44907548"</f>
        <v>616.99/44907548</v>
      </c>
      <c r="P2247" t="b">
        <v>0</v>
      </c>
      <c r="Q2247" t="b">
        <v>0</v>
      </c>
      <c r="R2247" t="str">
        <f>"9781604568820"</f>
        <v>9781604568820</v>
      </c>
      <c r="S2247" t="str">
        <f>"9781612096940"</f>
        <v>9781612096940</v>
      </c>
      <c r="T2247">
        <v>694791459</v>
      </c>
    </row>
    <row r="2248" spans="1:20" x14ac:dyDescent="0.25">
      <c r="A2248">
        <v>350613</v>
      </c>
      <c r="B2248" t="s">
        <v>11034</v>
      </c>
      <c r="C2248" t="s">
        <v>11035</v>
      </c>
      <c r="D2248" t="s">
        <v>2269</v>
      </c>
      <c r="E2248" t="s">
        <v>2269</v>
      </c>
      <c r="F2248">
        <v>2009</v>
      </c>
      <c r="G2248" t="s">
        <v>8238</v>
      </c>
      <c r="H2248" t="s">
        <v>11036</v>
      </c>
      <c r="I2248" t="s">
        <v>11037</v>
      </c>
      <c r="J2248" t="s">
        <v>26</v>
      </c>
      <c r="K2248" t="s">
        <v>27</v>
      </c>
      <c r="L2248" t="b">
        <v>1</v>
      </c>
      <c r="M2248" t="s">
        <v>11038</v>
      </c>
      <c r="N2248" t="str">
        <f>"617.7/190598"</f>
        <v>617.7/190598</v>
      </c>
      <c r="P2248" t="b">
        <v>0</v>
      </c>
      <c r="R2248" t="str">
        <f>"9781604568639"</f>
        <v>9781604568639</v>
      </c>
      <c r="S2248" t="str">
        <f>"9781612096933"</f>
        <v>9781612096933</v>
      </c>
      <c r="T2248">
        <v>694792721</v>
      </c>
    </row>
    <row r="2249" spans="1:20" x14ac:dyDescent="0.25">
      <c r="A2249">
        <v>350612</v>
      </c>
      <c r="B2249" t="s">
        <v>11039</v>
      </c>
      <c r="C2249" t="s">
        <v>11040</v>
      </c>
      <c r="D2249" t="s">
        <v>2269</v>
      </c>
      <c r="E2249" t="s">
        <v>2269</v>
      </c>
      <c r="F2249">
        <v>2009</v>
      </c>
      <c r="G2249" t="s">
        <v>11041</v>
      </c>
      <c r="H2249" t="s">
        <v>11042</v>
      </c>
      <c r="I2249" t="s">
        <v>11043</v>
      </c>
      <c r="J2249" t="s">
        <v>26</v>
      </c>
      <c r="K2249" t="s">
        <v>27</v>
      </c>
      <c r="L2249" t="b">
        <v>1</v>
      </c>
      <c r="M2249" t="s">
        <v>11044</v>
      </c>
      <c r="N2249" t="str">
        <f>"543/.65"</f>
        <v>543/.65</v>
      </c>
      <c r="O2249" t="s">
        <v>11045</v>
      </c>
      <c r="P2249" t="b">
        <v>0</v>
      </c>
      <c r="Q2249" t="b">
        <v>0</v>
      </c>
      <c r="R2249" t="str">
        <f>"9781607415800"</f>
        <v>9781607415800</v>
      </c>
      <c r="S2249" t="str">
        <f>"9781612096926"</f>
        <v>9781612096926</v>
      </c>
      <c r="T2249">
        <v>704434326</v>
      </c>
    </row>
    <row r="2250" spans="1:20" x14ac:dyDescent="0.25">
      <c r="A2250">
        <v>350595</v>
      </c>
      <c r="B2250" t="s">
        <v>11046</v>
      </c>
      <c r="D2250" t="s">
        <v>2269</v>
      </c>
      <c r="E2250" t="s">
        <v>2269</v>
      </c>
      <c r="F2250">
        <v>2009</v>
      </c>
      <c r="G2250" t="s">
        <v>11047</v>
      </c>
      <c r="H2250" t="s">
        <v>11048</v>
      </c>
      <c r="I2250" t="s">
        <v>11049</v>
      </c>
      <c r="J2250" t="s">
        <v>26</v>
      </c>
      <c r="K2250" t="s">
        <v>27</v>
      </c>
      <c r="L2250" t="b">
        <v>1</v>
      </c>
      <c r="M2250" t="s">
        <v>11050</v>
      </c>
      <c r="N2250" t="str">
        <f>"515/.392"</f>
        <v>515/.392</v>
      </c>
      <c r="P2250" t="b">
        <v>0</v>
      </c>
      <c r="Q2250" t="b">
        <v>0</v>
      </c>
      <c r="R2250" t="str">
        <f>"9781606925911"</f>
        <v>9781606925911</v>
      </c>
      <c r="S2250" t="str">
        <f>"9781607414148"</f>
        <v>9781607414148</v>
      </c>
      <c r="T2250">
        <v>694791461</v>
      </c>
    </row>
    <row r="2251" spans="1:20" x14ac:dyDescent="0.25">
      <c r="A2251">
        <v>350567</v>
      </c>
      <c r="B2251" t="s">
        <v>11051</v>
      </c>
      <c r="D2251" t="s">
        <v>5731</v>
      </c>
      <c r="E2251" t="s">
        <v>6240</v>
      </c>
      <c r="F2251">
        <v>2011</v>
      </c>
      <c r="G2251" t="s">
        <v>558</v>
      </c>
      <c r="H2251" t="s">
        <v>11052</v>
      </c>
      <c r="I2251" t="s">
        <v>11053</v>
      </c>
      <c r="J2251" t="s">
        <v>26</v>
      </c>
      <c r="K2251" t="s">
        <v>86</v>
      </c>
      <c r="L2251" t="b">
        <v>1</v>
      </c>
      <c r="M2251" t="s">
        <v>11054</v>
      </c>
      <c r="N2251" t="str">
        <f>"956.6/7003"</f>
        <v>956.6/7003</v>
      </c>
      <c r="O2251" t="s">
        <v>11055</v>
      </c>
      <c r="P2251" t="b">
        <v>0</v>
      </c>
      <c r="R2251" t="str">
        <f>"9780810867512"</f>
        <v>9780810867512</v>
      </c>
      <c r="S2251" t="str">
        <f>"9780810875074"</f>
        <v>9780810875074</v>
      </c>
      <c r="T2251">
        <v>705930641</v>
      </c>
    </row>
    <row r="2252" spans="1:20" x14ac:dyDescent="0.25">
      <c r="A2252">
        <v>350454</v>
      </c>
      <c r="B2252" t="s">
        <v>11056</v>
      </c>
      <c r="C2252" t="s">
        <v>11057</v>
      </c>
      <c r="D2252" t="s">
        <v>5501</v>
      </c>
      <c r="E2252" t="s">
        <v>5502</v>
      </c>
      <c r="F2252">
        <v>2011</v>
      </c>
      <c r="G2252" t="s">
        <v>235</v>
      </c>
      <c r="H2252" t="s">
        <v>11058</v>
      </c>
      <c r="I2252" t="s">
        <v>11059</v>
      </c>
      <c r="J2252" t="s">
        <v>26</v>
      </c>
      <c r="K2252" t="s">
        <v>86</v>
      </c>
      <c r="L2252" t="b">
        <v>1</v>
      </c>
      <c r="M2252" t="s">
        <v>11060</v>
      </c>
      <c r="N2252" t="str">
        <f>"966.905/4"</f>
        <v>966.905/4</v>
      </c>
      <c r="P2252" t="b">
        <v>0</v>
      </c>
      <c r="R2252" t="str">
        <f>"9781442206892"</f>
        <v>9781442206892</v>
      </c>
      <c r="S2252" t="str">
        <f>"9781442206915"</f>
        <v>9781442206915</v>
      </c>
      <c r="T2252">
        <v>694791389</v>
      </c>
    </row>
    <row r="2253" spans="1:20" x14ac:dyDescent="0.25">
      <c r="A2253">
        <v>350356</v>
      </c>
      <c r="B2253" t="s">
        <v>11061</v>
      </c>
      <c r="D2253" t="s">
        <v>2269</v>
      </c>
      <c r="E2253" t="s">
        <v>2269</v>
      </c>
      <c r="F2253">
        <v>2009</v>
      </c>
      <c r="G2253" t="s">
        <v>149</v>
      </c>
      <c r="H2253" t="s">
        <v>11062</v>
      </c>
      <c r="I2253" t="s">
        <v>11063</v>
      </c>
      <c r="J2253" t="s">
        <v>26</v>
      </c>
      <c r="K2253" t="s">
        <v>27</v>
      </c>
      <c r="L2253" t="b">
        <v>1</v>
      </c>
      <c r="M2253" t="s">
        <v>11064</v>
      </c>
      <c r="N2253" t="str">
        <f>"610.73"</f>
        <v>610.73</v>
      </c>
      <c r="P2253" t="b">
        <v>0</v>
      </c>
      <c r="Q2253" t="b">
        <v>0</v>
      </c>
      <c r="R2253" t="str">
        <f>"9781604566420"</f>
        <v>9781604566420</v>
      </c>
      <c r="S2253" t="str">
        <f>"9781612094267"</f>
        <v>9781612094267</v>
      </c>
      <c r="T2253">
        <v>694791462</v>
      </c>
    </row>
    <row r="2254" spans="1:20" x14ac:dyDescent="0.25">
      <c r="A2254">
        <v>350346</v>
      </c>
      <c r="B2254" t="s">
        <v>10274</v>
      </c>
      <c r="C2254" t="s">
        <v>10275</v>
      </c>
      <c r="D2254" t="s">
        <v>2269</v>
      </c>
      <c r="E2254" t="s">
        <v>2269</v>
      </c>
      <c r="F2254">
        <v>2009</v>
      </c>
      <c r="G2254" t="s">
        <v>8701</v>
      </c>
      <c r="H2254" t="s">
        <v>11065</v>
      </c>
      <c r="I2254" t="s">
        <v>10277</v>
      </c>
      <c r="J2254" t="s">
        <v>26</v>
      </c>
      <c r="K2254" t="s">
        <v>27</v>
      </c>
      <c r="L2254" t="b">
        <v>1</v>
      </c>
      <c r="M2254" t="s">
        <v>10278</v>
      </c>
      <c r="N2254" t="str">
        <f>"572/.65"</f>
        <v>572/.65</v>
      </c>
      <c r="O2254" t="s">
        <v>10274</v>
      </c>
      <c r="P2254" t="b">
        <v>0</v>
      </c>
      <c r="Q2254" t="b">
        <v>0</v>
      </c>
      <c r="R2254" t="str">
        <f>"9781607413790"</f>
        <v>9781607413790</v>
      </c>
      <c r="S2254" t="str">
        <f>"9781612094151"</f>
        <v>9781612094151</v>
      </c>
      <c r="T2254">
        <v>709890947</v>
      </c>
    </row>
    <row r="2255" spans="1:20" x14ac:dyDescent="0.25">
      <c r="A2255">
        <v>350345</v>
      </c>
      <c r="B2255" t="s">
        <v>11066</v>
      </c>
      <c r="D2255" t="s">
        <v>2269</v>
      </c>
      <c r="E2255" t="s">
        <v>2269</v>
      </c>
      <c r="F2255">
        <v>2009</v>
      </c>
      <c r="G2255" t="s">
        <v>8669</v>
      </c>
      <c r="H2255" t="s">
        <v>11067</v>
      </c>
      <c r="I2255" t="s">
        <v>11068</v>
      </c>
      <c r="J2255" t="s">
        <v>26</v>
      </c>
      <c r="K2255" t="s">
        <v>27</v>
      </c>
      <c r="L2255" t="b">
        <v>1</v>
      </c>
      <c r="M2255" t="s">
        <v>11069</v>
      </c>
      <c r="N2255" t="str">
        <f>"616.99/405"</f>
        <v>616.99/405</v>
      </c>
      <c r="P2255" t="b">
        <v>0</v>
      </c>
      <c r="Q2255" t="b">
        <v>0</v>
      </c>
      <c r="R2255" t="str">
        <f>"9781604566635"</f>
        <v>9781604566635</v>
      </c>
      <c r="S2255" t="str">
        <f>"9781612094144"</f>
        <v>9781612094144</v>
      </c>
      <c r="T2255">
        <v>701719402</v>
      </c>
    </row>
    <row r="2256" spans="1:20" x14ac:dyDescent="0.25">
      <c r="A2256">
        <v>350338</v>
      </c>
      <c r="B2256" t="s">
        <v>11070</v>
      </c>
      <c r="D2256" t="s">
        <v>2269</v>
      </c>
      <c r="E2256" t="s">
        <v>2269</v>
      </c>
      <c r="F2256">
        <v>2009</v>
      </c>
      <c r="G2256" t="s">
        <v>8986</v>
      </c>
      <c r="H2256" t="s">
        <v>11071</v>
      </c>
      <c r="I2256" t="s">
        <v>11072</v>
      </c>
      <c r="J2256" t="s">
        <v>26</v>
      </c>
      <c r="K2256" t="s">
        <v>27</v>
      </c>
      <c r="L2256" t="b">
        <v>1</v>
      </c>
      <c r="M2256" t="s">
        <v>11073</v>
      </c>
      <c r="N2256" t="str">
        <f>"387.7/404260973"</f>
        <v>387.7/404260973</v>
      </c>
      <c r="P2256" t="b">
        <v>0</v>
      </c>
      <c r="Q2256" t="b">
        <v>0</v>
      </c>
      <c r="R2256" t="str">
        <f>"9781606927106"</f>
        <v>9781606927106</v>
      </c>
      <c r="S2256" t="str">
        <f>"9781612094076"</f>
        <v>9781612094076</v>
      </c>
      <c r="T2256">
        <v>704300402</v>
      </c>
    </row>
    <row r="2257" spans="1:20" x14ac:dyDescent="0.25">
      <c r="A2257">
        <v>350337</v>
      </c>
      <c r="B2257" t="s">
        <v>11074</v>
      </c>
      <c r="D2257" t="s">
        <v>2269</v>
      </c>
      <c r="E2257" t="s">
        <v>2269</v>
      </c>
      <c r="F2257">
        <v>2009</v>
      </c>
      <c r="G2257" t="s">
        <v>7429</v>
      </c>
      <c r="H2257" t="s">
        <v>11075</v>
      </c>
      <c r="I2257" t="s">
        <v>11076</v>
      </c>
      <c r="J2257" t="s">
        <v>26</v>
      </c>
      <c r="K2257" t="s">
        <v>27</v>
      </c>
      <c r="L2257" t="b">
        <v>1</v>
      </c>
      <c r="M2257" t="s">
        <v>11077</v>
      </c>
      <c r="N2257" t="str">
        <f>"616.7/16042"</f>
        <v>616.7/16042</v>
      </c>
      <c r="O2257" t="s">
        <v>9409</v>
      </c>
      <c r="P2257" t="b">
        <v>0</v>
      </c>
      <c r="Q2257" t="b">
        <v>0</v>
      </c>
      <c r="R2257" t="str">
        <f>"9781608761906"</f>
        <v>9781608761906</v>
      </c>
      <c r="S2257" t="str">
        <f>"9781612094069"</f>
        <v>9781612094069</v>
      </c>
      <c r="T2257">
        <v>699510415</v>
      </c>
    </row>
    <row r="2258" spans="1:20" x14ac:dyDescent="0.25">
      <c r="A2258">
        <v>350336</v>
      </c>
      <c r="B2258" t="s">
        <v>11078</v>
      </c>
      <c r="D2258" t="s">
        <v>2269</v>
      </c>
      <c r="E2258" t="s">
        <v>2269</v>
      </c>
      <c r="F2258">
        <v>2009</v>
      </c>
      <c r="G2258" t="s">
        <v>8909</v>
      </c>
      <c r="H2258" t="s">
        <v>11079</v>
      </c>
      <c r="I2258" t="s">
        <v>11080</v>
      </c>
      <c r="J2258" t="s">
        <v>26</v>
      </c>
      <c r="K2258" t="s">
        <v>27</v>
      </c>
      <c r="L2258" t="b">
        <v>1</v>
      </c>
      <c r="M2258" t="s">
        <v>11081</v>
      </c>
      <c r="N2258" t="str">
        <f>"620.1/12973"</f>
        <v>620.1/12973</v>
      </c>
      <c r="P2258" t="b">
        <v>0</v>
      </c>
      <c r="Q2258" t="b">
        <v>0</v>
      </c>
      <c r="R2258" t="str">
        <f>"9781606926437"</f>
        <v>9781606926437</v>
      </c>
      <c r="S2258" t="str">
        <f>"9781612094052"</f>
        <v>9781612094052</v>
      </c>
      <c r="T2258">
        <v>694361459</v>
      </c>
    </row>
    <row r="2259" spans="1:20" x14ac:dyDescent="0.25">
      <c r="A2259">
        <v>350335</v>
      </c>
      <c r="B2259" t="s">
        <v>11082</v>
      </c>
      <c r="D2259" t="s">
        <v>2269</v>
      </c>
      <c r="E2259" t="s">
        <v>2269</v>
      </c>
      <c r="F2259">
        <v>2009</v>
      </c>
      <c r="G2259" t="s">
        <v>11047</v>
      </c>
      <c r="H2259" t="s">
        <v>11083</v>
      </c>
      <c r="I2259" t="s">
        <v>11084</v>
      </c>
      <c r="J2259" t="s">
        <v>26</v>
      </c>
      <c r="K2259" t="s">
        <v>27</v>
      </c>
      <c r="L2259" t="b">
        <v>1</v>
      </c>
      <c r="M2259" t="s">
        <v>11085</v>
      </c>
      <c r="N2259" t="str">
        <f>"515/.353"</f>
        <v>515/.353</v>
      </c>
      <c r="P2259" t="b">
        <v>0</v>
      </c>
      <c r="Q2259" t="b">
        <v>0</v>
      </c>
      <c r="R2259" t="str">
        <f>"9781604567526"</f>
        <v>9781604567526</v>
      </c>
      <c r="S2259" t="str">
        <f>"9781612094045"</f>
        <v>9781612094045</v>
      </c>
      <c r="T2259">
        <v>704436257</v>
      </c>
    </row>
    <row r="2260" spans="1:20" x14ac:dyDescent="0.25">
      <c r="A2260">
        <v>350333</v>
      </c>
      <c r="B2260" t="s">
        <v>11086</v>
      </c>
      <c r="C2260" t="s">
        <v>11087</v>
      </c>
      <c r="D2260" t="s">
        <v>2269</v>
      </c>
      <c r="E2260" t="s">
        <v>2269</v>
      </c>
      <c r="F2260">
        <v>2009</v>
      </c>
      <c r="G2260" t="s">
        <v>9984</v>
      </c>
      <c r="H2260" t="s">
        <v>11088</v>
      </c>
      <c r="I2260" t="s">
        <v>11089</v>
      </c>
      <c r="J2260" t="s">
        <v>26</v>
      </c>
      <c r="K2260" t="s">
        <v>27</v>
      </c>
      <c r="L2260" t="b">
        <v>1</v>
      </c>
      <c r="M2260" t="s">
        <v>11090</v>
      </c>
      <c r="N2260" t="str">
        <f>"362.196/9792"</f>
        <v>362.196/9792</v>
      </c>
      <c r="O2260" t="s">
        <v>11091</v>
      </c>
      <c r="P2260" t="b">
        <v>0</v>
      </c>
      <c r="Q2260" t="b">
        <v>0</v>
      </c>
      <c r="R2260" t="str">
        <f>"9781608760541"</f>
        <v>9781608760541</v>
      </c>
      <c r="S2260" t="str">
        <f>"9781612094021"</f>
        <v>9781612094021</v>
      </c>
      <c r="T2260">
        <v>704436229</v>
      </c>
    </row>
    <row r="2261" spans="1:20" x14ac:dyDescent="0.25">
      <c r="A2261">
        <v>350094</v>
      </c>
      <c r="B2261" t="s">
        <v>11092</v>
      </c>
      <c r="D2261" t="s">
        <v>10249</v>
      </c>
      <c r="E2261" t="s">
        <v>10249</v>
      </c>
      <c r="F2261">
        <v>2010</v>
      </c>
      <c r="G2261" t="s">
        <v>1226</v>
      </c>
      <c r="H2261" t="s">
        <v>11093</v>
      </c>
      <c r="I2261" t="s">
        <v>11094</v>
      </c>
      <c r="J2261" t="s">
        <v>26</v>
      </c>
      <c r="K2261" t="s">
        <v>86</v>
      </c>
      <c r="L2261" t="b">
        <v>1</v>
      </c>
      <c r="M2261" t="s">
        <v>11095</v>
      </c>
      <c r="N2261" t="str">
        <f>"320.973"</f>
        <v>320.973</v>
      </c>
      <c r="P2261" t="b">
        <v>0</v>
      </c>
      <c r="R2261" t="str">
        <f>"9780691146201"</f>
        <v>9780691146201</v>
      </c>
      <c r="S2261" t="str">
        <f>"9781400834808"</f>
        <v>9781400834808</v>
      </c>
      <c r="T2261">
        <v>699474626</v>
      </c>
    </row>
    <row r="2262" spans="1:20" x14ac:dyDescent="0.25">
      <c r="A2262">
        <v>350093</v>
      </c>
      <c r="B2262" t="s">
        <v>11096</v>
      </c>
      <c r="C2262" t="s">
        <v>11097</v>
      </c>
      <c r="D2262" t="s">
        <v>10249</v>
      </c>
      <c r="E2262" t="s">
        <v>10249</v>
      </c>
      <c r="F2262">
        <v>2010</v>
      </c>
      <c r="G2262" t="s">
        <v>11098</v>
      </c>
      <c r="H2262" t="s">
        <v>11099</v>
      </c>
      <c r="I2262" t="s">
        <v>11100</v>
      </c>
      <c r="J2262" t="s">
        <v>26</v>
      </c>
      <c r="K2262" t="s">
        <v>86</v>
      </c>
      <c r="L2262" t="b">
        <v>1</v>
      </c>
      <c r="M2262" t="s">
        <v>11101</v>
      </c>
      <c r="N2262" t="str">
        <f>"364.1/323"</f>
        <v>364.1/323</v>
      </c>
      <c r="P2262" t="b">
        <v>0</v>
      </c>
      <c r="R2262" t="str">
        <f>"9780691144696"</f>
        <v>9780691144696</v>
      </c>
      <c r="S2262" t="str">
        <f>"9781400834792"</f>
        <v>9781400834792</v>
      </c>
      <c r="T2262">
        <v>699474624</v>
      </c>
    </row>
    <row r="2263" spans="1:20" x14ac:dyDescent="0.25">
      <c r="A2263">
        <v>349640</v>
      </c>
      <c r="B2263" t="s">
        <v>11102</v>
      </c>
      <c r="D2263" t="s">
        <v>2269</v>
      </c>
      <c r="E2263" t="s">
        <v>2269</v>
      </c>
      <c r="F2263">
        <v>2009</v>
      </c>
      <c r="G2263" t="s">
        <v>11103</v>
      </c>
      <c r="H2263" t="s">
        <v>11104</v>
      </c>
      <c r="I2263" t="s">
        <v>11105</v>
      </c>
      <c r="J2263" t="s">
        <v>26</v>
      </c>
      <c r="K2263" t="s">
        <v>27</v>
      </c>
      <c r="L2263" t="b">
        <v>1</v>
      </c>
      <c r="M2263" t="s">
        <v>11106</v>
      </c>
      <c r="N2263" t="str">
        <f>"507.1/073"</f>
        <v>507.1/073</v>
      </c>
      <c r="P2263" t="b">
        <v>0</v>
      </c>
      <c r="Q2263" t="b">
        <v>0</v>
      </c>
      <c r="R2263" t="str">
        <f>"9781606924426"</f>
        <v>9781606924426</v>
      </c>
      <c r="S2263" t="str">
        <f>"9781612093895"</f>
        <v>9781612093895</v>
      </c>
      <c r="T2263">
        <v>704285383</v>
      </c>
    </row>
    <row r="2264" spans="1:20" x14ac:dyDescent="0.25">
      <c r="A2264">
        <v>349639</v>
      </c>
      <c r="B2264" t="s">
        <v>11107</v>
      </c>
      <c r="D2264" t="s">
        <v>2269</v>
      </c>
      <c r="E2264" t="s">
        <v>2269</v>
      </c>
      <c r="F2264">
        <v>2009</v>
      </c>
      <c r="G2264" t="s">
        <v>8991</v>
      </c>
      <c r="H2264" t="s">
        <v>11108</v>
      </c>
      <c r="I2264" t="s">
        <v>11109</v>
      </c>
      <c r="J2264" t="s">
        <v>26</v>
      </c>
      <c r="K2264" t="s">
        <v>27</v>
      </c>
      <c r="L2264" t="b">
        <v>1</v>
      </c>
      <c r="M2264" t="s">
        <v>11110</v>
      </c>
      <c r="N2264" t="str">
        <f>"616.95/1"</f>
        <v>616.95/1</v>
      </c>
      <c r="O2264" t="s">
        <v>11111</v>
      </c>
      <c r="P2264" t="b">
        <v>0</v>
      </c>
      <c r="Q2264" t="b">
        <v>0</v>
      </c>
      <c r="R2264" t="str">
        <f>"9781607415848"</f>
        <v>9781607415848</v>
      </c>
      <c r="S2264" t="str">
        <f>"9781612093888"</f>
        <v>9781612093888</v>
      </c>
      <c r="T2264">
        <v>694362941</v>
      </c>
    </row>
    <row r="2265" spans="1:20" x14ac:dyDescent="0.25">
      <c r="A2265">
        <v>349635</v>
      </c>
      <c r="B2265" t="s">
        <v>11112</v>
      </c>
      <c r="D2265" t="s">
        <v>2269</v>
      </c>
      <c r="E2265" t="s">
        <v>2269</v>
      </c>
      <c r="F2265">
        <v>2009</v>
      </c>
      <c r="G2265" t="s">
        <v>4670</v>
      </c>
      <c r="H2265" t="s">
        <v>11113</v>
      </c>
      <c r="I2265" t="s">
        <v>11114</v>
      </c>
      <c r="J2265" t="s">
        <v>26</v>
      </c>
      <c r="K2265" t="s">
        <v>27</v>
      </c>
      <c r="L2265" t="b">
        <v>1</v>
      </c>
      <c r="M2265" t="s">
        <v>11115</v>
      </c>
      <c r="N2265" t="str">
        <f>"530.01"</f>
        <v>530.01</v>
      </c>
      <c r="O2265" t="s">
        <v>6876</v>
      </c>
      <c r="P2265" t="b">
        <v>0</v>
      </c>
      <c r="Q2265" t="b">
        <v>0</v>
      </c>
      <c r="R2265" t="str">
        <f>"9781606929087"</f>
        <v>9781606929087</v>
      </c>
      <c r="S2265" t="str">
        <f>"9781612093826"</f>
        <v>9781612093826</v>
      </c>
      <c r="T2265">
        <v>703670616</v>
      </c>
    </row>
    <row r="2266" spans="1:20" x14ac:dyDescent="0.25">
      <c r="A2266">
        <v>349631</v>
      </c>
      <c r="B2266" t="s">
        <v>11116</v>
      </c>
      <c r="C2266" t="s">
        <v>11117</v>
      </c>
      <c r="D2266" t="s">
        <v>2269</v>
      </c>
      <c r="E2266" t="s">
        <v>2269</v>
      </c>
      <c r="F2266">
        <v>2009</v>
      </c>
      <c r="G2266" t="s">
        <v>8354</v>
      </c>
      <c r="H2266" t="s">
        <v>11118</v>
      </c>
      <c r="I2266" t="s">
        <v>11119</v>
      </c>
      <c r="J2266" t="s">
        <v>26</v>
      </c>
      <c r="K2266" t="s">
        <v>27</v>
      </c>
      <c r="L2266" t="b">
        <v>1</v>
      </c>
      <c r="M2266" t="s">
        <v>11120</v>
      </c>
      <c r="N2266" t="str">
        <f>"660.6"</f>
        <v>660.6</v>
      </c>
      <c r="P2266" t="b">
        <v>0</v>
      </c>
      <c r="Q2266" t="b">
        <v>0</v>
      </c>
      <c r="R2266" t="str">
        <f>"9781606925348"</f>
        <v>9781606925348</v>
      </c>
      <c r="S2266" t="str">
        <f>"9781612093659"</f>
        <v>9781612093659</v>
      </c>
      <c r="T2266">
        <v>694362345</v>
      </c>
    </row>
    <row r="2267" spans="1:20" x14ac:dyDescent="0.25">
      <c r="A2267">
        <v>349480</v>
      </c>
      <c r="B2267" t="s">
        <v>11121</v>
      </c>
      <c r="D2267" t="s">
        <v>11122</v>
      </c>
      <c r="E2267" t="s">
        <v>11122</v>
      </c>
      <c r="F2267">
        <v>2010</v>
      </c>
      <c r="G2267" t="s">
        <v>72</v>
      </c>
      <c r="H2267" t="s">
        <v>11123</v>
      </c>
      <c r="I2267" t="s">
        <v>2191</v>
      </c>
      <c r="J2267" t="s">
        <v>26</v>
      </c>
      <c r="K2267" t="s">
        <v>86</v>
      </c>
      <c r="L2267" t="b">
        <v>1</v>
      </c>
      <c r="M2267" t="s">
        <v>11124</v>
      </c>
      <c r="N2267" t="str">
        <f>"070.1/8"</f>
        <v>070.1/8</v>
      </c>
      <c r="P2267" t="b">
        <v>0</v>
      </c>
      <c r="R2267" t="str">
        <f>"9780253355560"</f>
        <v>9780253355560</v>
      </c>
      <c r="S2267" t="str">
        <f>"9780253004871"</f>
        <v>9780253004871</v>
      </c>
      <c r="T2267">
        <v>695998458</v>
      </c>
    </row>
    <row r="2268" spans="1:20" x14ac:dyDescent="0.25">
      <c r="A2268">
        <v>348536</v>
      </c>
      <c r="B2268" t="s">
        <v>11125</v>
      </c>
      <c r="C2268" t="s">
        <v>11126</v>
      </c>
      <c r="D2268" t="s">
        <v>226</v>
      </c>
      <c r="E2268" t="s">
        <v>226</v>
      </c>
      <c r="F2268">
        <v>2005</v>
      </c>
      <c r="G2268" t="s">
        <v>2949</v>
      </c>
      <c r="H2268" t="s">
        <v>11127</v>
      </c>
      <c r="I2268" t="s">
        <v>11128</v>
      </c>
      <c r="J2268" t="s">
        <v>26</v>
      </c>
      <c r="K2268" t="s">
        <v>27</v>
      </c>
      <c r="L2268" t="b">
        <v>1</v>
      </c>
      <c r="M2268" t="s">
        <v>11129</v>
      </c>
      <c r="N2268" t="str">
        <f>"551.7094/09033"</f>
        <v>551.7094/09033</v>
      </c>
      <c r="P2268" t="b">
        <v>0</v>
      </c>
      <c r="Q2268" t="b">
        <v>0</v>
      </c>
      <c r="R2268" t="str">
        <f>"9780226731117"</f>
        <v>9780226731117</v>
      </c>
      <c r="S2268" t="str">
        <f>"9780226731148"</f>
        <v>9780226731148</v>
      </c>
      <c r="T2268">
        <v>692204522</v>
      </c>
    </row>
    <row r="2269" spans="1:20" x14ac:dyDescent="0.25">
      <c r="A2269">
        <v>348488</v>
      </c>
      <c r="B2269" t="s">
        <v>11130</v>
      </c>
      <c r="C2269" t="s">
        <v>11131</v>
      </c>
      <c r="D2269" t="s">
        <v>11132</v>
      </c>
      <c r="E2269" t="s">
        <v>11133</v>
      </c>
      <c r="F2269">
        <v>2010</v>
      </c>
      <c r="G2269" t="s">
        <v>6747</v>
      </c>
      <c r="H2269" t="s">
        <v>11134</v>
      </c>
      <c r="I2269" t="s">
        <v>11135</v>
      </c>
      <c r="J2269" t="s">
        <v>26</v>
      </c>
      <c r="K2269" t="s">
        <v>27</v>
      </c>
      <c r="L2269" t="b">
        <v>1</v>
      </c>
      <c r="M2269" t="s">
        <v>11136</v>
      </c>
      <c r="N2269" t="str">
        <f>"346.0482096"</f>
        <v>346.0482096</v>
      </c>
      <c r="P2269" t="b">
        <v>0</v>
      </c>
      <c r="R2269" t="str">
        <f>"9781919895451"</f>
        <v>9781919895451</v>
      </c>
      <c r="S2269" t="str">
        <f>"9781552504901"</f>
        <v>9781552504901</v>
      </c>
      <c r="T2269">
        <v>692205212</v>
      </c>
    </row>
    <row r="2270" spans="1:20" x14ac:dyDescent="0.25">
      <c r="A2270">
        <v>347486</v>
      </c>
      <c r="B2270" t="s">
        <v>11137</v>
      </c>
      <c r="C2270" t="s">
        <v>11138</v>
      </c>
      <c r="D2270" t="s">
        <v>2269</v>
      </c>
      <c r="E2270" t="s">
        <v>2269</v>
      </c>
      <c r="F2270">
        <v>2009</v>
      </c>
      <c r="G2270" t="s">
        <v>3792</v>
      </c>
      <c r="H2270" t="s">
        <v>11139</v>
      </c>
      <c r="I2270" t="s">
        <v>11140</v>
      </c>
      <c r="J2270" t="s">
        <v>26</v>
      </c>
      <c r="K2270" t="s">
        <v>27</v>
      </c>
      <c r="L2270" t="b">
        <v>1</v>
      </c>
      <c r="M2270" t="s">
        <v>11141</v>
      </c>
      <c r="N2270" t="str">
        <f>"612/.01442"</f>
        <v>612/.01442</v>
      </c>
      <c r="P2270" t="b">
        <v>0</v>
      </c>
      <c r="Q2270" t="b">
        <v>0</v>
      </c>
      <c r="R2270" t="str">
        <f>"9781607414315"</f>
        <v>9781607414315</v>
      </c>
      <c r="S2270" t="str">
        <f>"9781616688202"</f>
        <v>9781616688202</v>
      </c>
      <c r="T2270">
        <v>692204511</v>
      </c>
    </row>
    <row r="2271" spans="1:20" x14ac:dyDescent="0.25">
      <c r="A2271">
        <v>347476</v>
      </c>
      <c r="B2271" t="s">
        <v>11142</v>
      </c>
      <c r="D2271" t="s">
        <v>2269</v>
      </c>
      <c r="E2271" t="s">
        <v>2269</v>
      </c>
      <c r="F2271">
        <v>2009</v>
      </c>
      <c r="G2271" t="s">
        <v>11143</v>
      </c>
      <c r="H2271" t="s">
        <v>11144</v>
      </c>
      <c r="I2271" t="s">
        <v>11145</v>
      </c>
      <c r="J2271" t="s">
        <v>26</v>
      </c>
      <c r="K2271" t="s">
        <v>27</v>
      </c>
      <c r="L2271" t="b">
        <v>1</v>
      </c>
      <c r="M2271" t="s">
        <v>11146</v>
      </c>
      <c r="N2271" t="str">
        <f>"641.3/08"</f>
        <v>641.3/08</v>
      </c>
      <c r="O2271" t="s">
        <v>11147</v>
      </c>
      <c r="P2271" t="b">
        <v>0</v>
      </c>
      <c r="Q2271" t="b">
        <v>0</v>
      </c>
      <c r="R2271" t="str">
        <f>"9781608769988"</f>
        <v>9781608769988</v>
      </c>
      <c r="S2271" t="str">
        <f>"9781616683702"</f>
        <v>9781616683702</v>
      </c>
      <c r="T2271">
        <v>704420693</v>
      </c>
    </row>
    <row r="2272" spans="1:20" x14ac:dyDescent="0.25">
      <c r="A2272">
        <v>346993</v>
      </c>
      <c r="B2272" t="s">
        <v>11148</v>
      </c>
      <c r="D2272" t="s">
        <v>255</v>
      </c>
      <c r="E2272" t="s">
        <v>11149</v>
      </c>
      <c r="F2272">
        <v>2009</v>
      </c>
      <c r="G2272" t="s">
        <v>1968</v>
      </c>
      <c r="H2272" t="s">
        <v>11150</v>
      </c>
      <c r="I2272" t="s">
        <v>11151</v>
      </c>
      <c r="J2272" t="s">
        <v>26</v>
      </c>
      <c r="K2272" t="s">
        <v>27</v>
      </c>
      <c r="L2272" t="b">
        <v>1</v>
      </c>
      <c r="M2272" t="s">
        <v>11152</v>
      </c>
      <c r="N2272" t="str">
        <f>"333.3/142"</f>
        <v>333.3/142</v>
      </c>
      <c r="P2272" t="b">
        <v>1</v>
      </c>
      <c r="R2272" t="str">
        <f>"9781605700250"</f>
        <v>9781605700250</v>
      </c>
      <c r="S2272" t="str">
        <f>"9781605700298"</f>
        <v>9781605700298</v>
      </c>
      <c r="T2272">
        <v>698359916</v>
      </c>
    </row>
    <row r="2273" spans="1:20" x14ac:dyDescent="0.25">
      <c r="A2273">
        <v>346990</v>
      </c>
      <c r="B2273" t="s">
        <v>11153</v>
      </c>
      <c r="D2273" t="s">
        <v>255</v>
      </c>
      <c r="E2273" t="s">
        <v>11149</v>
      </c>
      <c r="F2273">
        <v>2009</v>
      </c>
      <c r="G2273" t="s">
        <v>8619</v>
      </c>
      <c r="H2273" t="s">
        <v>11154</v>
      </c>
      <c r="I2273" t="s">
        <v>11155</v>
      </c>
      <c r="J2273" t="s">
        <v>26</v>
      </c>
      <c r="K2273" t="s">
        <v>27</v>
      </c>
      <c r="L2273" t="b">
        <v>1</v>
      </c>
      <c r="M2273" t="s">
        <v>11156</v>
      </c>
      <c r="N2273" t="str">
        <f>"261.8"</f>
        <v>261.8</v>
      </c>
      <c r="O2273" t="s">
        <v>11157</v>
      </c>
      <c r="P2273" t="b">
        <v>0</v>
      </c>
      <c r="R2273" t="str">
        <f>"9781932528190"</f>
        <v>9781932528190</v>
      </c>
      <c r="S2273" t="str">
        <f>"9781605700274"</f>
        <v>9781605700274</v>
      </c>
      <c r="T2273">
        <v>694091042</v>
      </c>
    </row>
    <row r="2274" spans="1:20" x14ac:dyDescent="0.25">
      <c r="A2274">
        <v>345928</v>
      </c>
      <c r="B2274" t="s">
        <v>11158</v>
      </c>
      <c r="C2274" t="s">
        <v>11159</v>
      </c>
      <c r="D2274" t="s">
        <v>11160</v>
      </c>
      <c r="E2274" t="s">
        <v>11160</v>
      </c>
      <c r="F2274">
        <v>2010</v>
      </c>
      <c r="G2274" t="s">
        <v>2014</v>
      </c>
      <c r="H2274" t="s">
        <v>11161</v>
      </c>
      <c r="I2274" t="s">
        <v>11162</v>
      </c>
      <c r="J2274" t="s">
        <v>26</v>
      </c>
      <c r="K2274" t="s">
        <v>27</v>
      </c>
      <c r="L2274" t="b">
        <v>1</v>
      </c>
      <c r="M2274" t="s">
        <v>11163</v>
      </c>
      <c r="N2274" t="str">
        <f>"190"</f>
        <v>190</v>
      </c>
      <c r="P2274" t="b">
        <v>0</v>
      </c>
      <c r="Q2274" t="b">
        <v>1</v>
      </c>
      <c r="T2274">
        <v>697523152</v>
      </c>
    </row>
    <row r="2275" spans="1:20" x14ac:dyDescent="0.25">
      <c r="A2275">
        <v>344740</v>
      </c>
      <c r="B2275" t="s">
        <v>11164</v>
      </c>
      <c r="D2275" t="s">
        <v>1364</v>
      </c>
      <c r="E2275" t="s">
        <v>1364</v>
      </c>
      <c r="F2275">
        <v>2010</v>
      </c>
      <c r="G2275" t="s">
        <v>1508</v>
      </c>
      <c r="H2275" t="s">
        <v>11165</v>
      </c>
      <c r="I2275" t="s">
        <v>11166</v>
      </c>
      <c r="J2275" t="s">
        <v>26</v>
      </c>
      <c r="K2275" t="s">
        <v>27</v>
      </c>
      <c r="L2275" t="b">
        <v>1</v>
      </c>
      <c r="M2275" t="s">
        <v>11167</v>
      </c>
      <c r="N2275" t="str">
        <f>"025.2/82"</f>
        <v>025.2/82</v>
      </c>
      <c r="P2275" t="b">
        <v>0</v>
      </c>
      <c r="R2275" t="str">
        <f>"9783598117930"</f>
        <v>9783598117930</v>
      </c>
      <c r="S2275" t="str">
        <f>"9783598441493"</f>
        <v>9783598441493</v>
      </c>
      <c r="T2275">
        <v>682628545</v>
      </c>
    </row>
    <row r="2276" spans="1:20" x14ac:dyDescent="0.25">
      <c r="A2276">
        <v>343782</v>
      </c>
      <c r="B2276" t="s">
        <v>11168</v>
      </c>
      <c r="C2276" t="s">
        <v>11169</v>
      </c>
      <c r="D2276" t="s">
        <v>8514</v>
      </c>
      <c r="E2276" t="s">
        <v>8515</v>
      </c>
      <c r="F2276">
        <v>2010</v>
      </c>
      <c r="G2276" t="s">
        <v>11170</v>
      </c>
      <c r="H2276" t="s">
        <v>11171</v>
      </c>
      <c r="I2276" t="s">
        <v>11172</v>
      </c>
      <c r="J2276" t="s">
        <v>26</v>
      </c>
      <c r="K2276" t="s">
        <v>27</v>
      </c>
      <c r="L2276" t="b">
        <v>1</v>
      </c>
      <c r="M2276" t="s">
        <v>11173</v>
      </c>
      <c r="N2276" t="str">
        <f>"531/.14"</f>
        <v>531/.14</v>
      </c>
      <c r="P2276" t="b">
        <v>0</v>
      </c>
      <c r="Q2276" t="b">
        <v>0</v>
      </c>
      <c r="R2276" t="str">
        <f>"9780986492648"</f>
        <v>9780986492648</v>
      </c>
      <c r="S2276" t="str">
        <f>"9781441678836"</f>
        <v>9781441678836</v>
      </c>
      <c r="T2276">
        <v>686681863</v>
      </c>
    </row>
    <row r="2277" spans="1:20" x14ac:dyDescent="0.25">
      <c r="A2277">
        <v>342920</v>
      </c>
      <c r="B2277" t="s">
        <v>11174</v>
      </c>
      <c r="C2277" t="s">
        <v>11175</v>
      </c>
      <c r="D2277" t="s">
        <v>255</v>
      </c>
      <c r="E2277" t="s">
        <v>11176</v>
      </c>
      <c r="F2277">
        <v>2006</v>
      </c>
      <c r="G2277" t="s">
        <v>11177</v>
      </c>
      <c r="H2277" t="s">
        <v>11178</v>
      </c>
      <c r="I2277" t="s">
        <v>11179</v>
      </c>
      <c r="J2277" t="s">
        <v>26</v>
      </c>
      <c r="K2277" t="s">
        <v>27</v>
      </c>
      <c r="L2277" t="b">
        <v>1</v>
      </c>
      <c r="M2277" t="s">
        <v>11180</v>
      </c>
      <c r="N2277" t="str">
        <f>"297.4/4"</f>
        <v>297.4/4</v>
      </c>
      <c r="P2277" t="b">
        <v>0</v>
      </c>
      <c r="R2277" t="str">
        <f>"9781890350123"</f>
        <v>9781890350123</v>
      </c>
      <c r="S2277" t="str">
        <f>"9781890350307"</f>
        <v>9781890350307</v>
      </c>
      <c r="T2277">
        <v>676700377</v>
      </c>
    </row>
    <row r="2278" spans="1:20" x14ac:dyDescent="0.25">
      <c r="A2278">
        <v>342919</v>
      </c>
      <c r="B2278" t="s">
        <v>11181</v>
      </c>
      <c r="C2278" t="s">
        <v>11182</v>
      </c>
      <c r="D2278" t="s">
        <v>255</v>
      </c>
      <c r="E2278" t="s">
        <v>11176</v>
      </c>
      <c r="F2278">
        <v>2005</v>
      </c>
      <c r="G2278" t="s">
        <v>6966</v>
      </c>
      <c r="H2278" t="s">
        <v>11183</v>
      </c>
      <c r="I2278" t="s">
        <v>11179</v>
      </c>
      <c r="J2278" t="s">
        <v>26</v>
      </c>
      <c r="K2278" t="s">
        <v>27</v>
      </c>
      <c r="L2278" t="b">
        <v>1</v>
      </c>
      <c r="M2278" t="s">
        <v>11180</v>
      </c>
      <c r="N2278" t="str">
        <f>"297.4/4"</f>
        <v>297.4/4</v>
      </c>
      <c r="P2278" t="b">
        <v>0</v>
      </c>
      <c r="R2278" t="str">
        <f>"9781890350116"</f>
        <v>9781890350116</v>
      </c>
      <c r="S2278" t="str">
        <f>"9781890350338"</f>
        <v>9781890350338</v>
      </c>
      <c r="T2278">
        <v>676698521</v>
      </c>
    </row>
    <row r="2279" spans="1:20" x14ac:dyDescent="0.25">
      <c r="A2279">
        <v>342811</v>
      </c>
      <c r="B2279" t="s">
        <v>11184</v>
      </c>
      <c r="C2279" t="s">
        <v>11185</v>
      </c>
      <c r="D2279" t="s">
        <v>226</v>
      </c>
      <c r="E2279" t="s">
        <v>226</v>
      </c>
      <c r="F2279">
        <v>2010</v>
      </c>
      <c r="G2279" t="s">
        <v>11186</v>
      </c>
      <c r="H2279" t="s">
        <v>11187</v>
      </c>
      <c r="I2279" t="s">
        <v>11188</v>
      </c>
      <c r="J2279" t="s">
        <v>26</v>
      </c>
      <c r="K2279" t="s">
        <v>27</v>
      </c>
      <c r="L2279" t="b">
        <v>1</v>
      </c>
      <c r="M2279" t="s">
        <v>11189</v>
      </c>
      <c r="N2279" t="str">
        <f>"025.3"</f>
        <v>025.3</v>
      </c>
      <c r="P2279" t="b">
        <v>0</v>
      </c>
      <c r="Q2279" t="b">
        <v>0</v>
      </c>
      <c r="R2279" t="str">
        <f>"9780226836140"</f>
        <v>9780226836140</v>
      </c>
      <c r="S2279" t="str">
        <f>"9780226836157"</f>
        <v>9780226836157</v>
      </c>
      <c r="T2279">
        <v>681756863</v>
      </c>
    </row>
    <row r="2280" spans="1:20" x14ac:dyDescent="0.25">
      <c r="A2280">
        <v>342099</v>
      </c>
      <c r="B2280" t="s">
        <v>11190</v>
      </c>
      <c r="C2280" t="s">
        <v>11191</v>
      </c>
      <c r="D2280" t="s">
        <v>255</v>
      </c>
      <c r="E2280" t="s">
        <v>11192</v>
      </c>
      <c r="F2280">
        <v>2010</v>
      </c>
      <c r="G2280" t="s">
        <v>1327</v>
      </c>
      <c r="H2280" t="s">
        <v>11193</v>
      </c>
      <c r="I2280" t="s">
        <v>11194</v>
      </c>
      <c r="J2280" t="s">
        <v>26</v>
      </c>
      <c r="K2280" t="s">
        <v>27</v>
      </c>
      <c r="L2280" t="b">
        <v>1</v>
      </c>
      <c r="M2280" t="s">
        <v>11195</v>
      </c>
      <c r="N2280" t="str">
        <f>"650.13"</f>
        <v>650.13</v>
      </c>
      <c r="O2280" t="s">
        <v>11196</v>
      </c>
      <c r="P2280" t="b">
        <v>0</v>
      </c>
      <c r="R2280" t="str">
        <f>"9781892005014"</f>
        <v>9781892005014</v>
      </c>
      <c r="S2280" t="str">
        <f>"9781892005533"</f>
        <v>9781892005533</v>
      </c>
      <c r="T2280">
        <v>670429625</v>
      </c>
    </row>
    <row r="2281" spans="1:20" x14ac:dyDescent="0.25">
      <c r="A2281">
        <v>341652</v>
      </c>
      <c r="B2281" t="s">
        <v>11197</v>
      </c>
      <c r="D2281" t="s">
        <v>2269</v>
      </c>
      <c r="E2281" t="s">
        <v>2269</v>
      </c>
      <c r="F2281">
        <v>2009</v>
      </c>
      <c r="G2281" t="s">
        <v>1054</v>
      </c>
      <c r="H2281" t="s">
        <v>11198</v>
      </c>
      <c r="I2281" t="s">
        <v>11199</v>
      </c>
      <c r="J2281" t="s">
        <v>26</v>
      </c>
      <c r="K2281" t="s">
        <v>27</v>
      </c>
      <c r="L2281" t="b">
        <v>1</v>
      </c>
      <c r="M2281" t="s">
        <v>11200</v>
      </c>
      <c r="N2281" t="str">
        <f>"616.1/025"</f>
        <v>616.1/025</v>
      </c>
      <c r="P2281" t="b">
        <v>0</v>
      </c>
      <c r="Q2281" t="b">
        <v>0</v>
      </c>
      <c r="R2281" t="str">
        <f>"9781608766680"</f>
        <v>9781608766680</v>
      </c>
      <c r="S2281" t="str">
        <f>"9781611229486"</f>
        <v>9781611229486</v>
      </c>
      <c r="T2281">
        <v>682623387</v>
      </c>
    </row>
    <row r="2282" spans="1:20" x14ac:dyDescent="0.25">
      <c r="A2282">
        <v>340239</v>
      </c>
      <c r="B2282" t="s">
        <v>11201</v>
      </c>
      <c r="D2282" t="s">
        <v>2269</v>
      </c>
      <c r="E2282" t="s">
        <v>2269</v>
      </c>
      <c r="F2282">
        <v>2009</v>
      </c>
      <c r="G2282" t="s">
        <v>9145</v>
      </c>
      <c r="H2282" t="s">
        <v>11202</v>
      </c>
      <c r="I2282" t="s">
        <v>11203</v>
      </c>
      <c r="J2282" t="s">
        <v>26</v>
      </c>
      <c r="K2282" t="s">
        <v>27</v>
      </c>
      <c r="L2282" t="b">
        <v>1</v>
      </c>
      <c r="M2282" t="s">
        <v>11204</v>
      </c>
      <c r="N2282" t="str">
        <f>"613.2"</f>
        <v>613.2</v>
      </c>
      <c r="O2282" t="s">
        <v>10958</v>
      </c>
      <c r="P2282" t="b">
        <v>0</v>
      </c>
      <c r="Q2282" t="b">
        <v>0</v>
      </c>
      <c r="R2282" t="str">
        <f>"9781607415961"</f>
        <v>9781607415961</v>
      </c>
      <c r="S2282" t="str">
        <f>"9781611224726"</f>
        <v>9781611224726</v>
      </c>
      <c r="T2282">
        <v>669517204</v>
      </c>
    </row>
    <row r="2283" spans="1:20" x14ac:dyDescent="0.25">
      <c r="A2283">
        <v>340238</v>
      </c>
      <c r="B2283" t="s">
        <v>11205</v>
      </c>
      <c r="C2283" t="s">
        <v>11206</v>
      </c>
      <c r="D2283" t="s">
        <v>2269</v>
      </c>
      <c r="E2283" t="s">
        <v>2269</v>
      </c>
      <c r="F2283">
        <v>2009</v>
      </c>
      <c r="G2283" t="s">
        <v>8238</v>
      </c>
      <c r="H2283" t="s">
        <v>11207</v>
      </c>
      <c r="I2283" t="s">
        <v>11208</v>
      </c>
      <c r="J2283" t="s">
        <v>26</v>
      </c>
      <c r="K2283" t="s">
        <v>27</v>
      </c>
      <c r="L2283" t="b">
        <v>1</v>
      </c>
      <c r="M2283" t="s">
        <v>11209</v>
      </c>
      <c r="N2283" t="str">
        <f>"617.7/41"</f>
        <v>617.7/41</v>
      </c>
      <c r="O2283" t="s">
        <v>10953</v>
      </c>
      <c r="P2283" t="b">
        <v>0</v>
      </c>
      <c r="Q2283" t="b">
        <v>0</v>
      </c>
      <c r="R2283" t="str">
        <f>"9781607411772"</f>
        <v>9781607411772</v>
      </c>
      <c r="S2283" t="str">
        <f>"9781611225327"</f>
        <v>9781611225327</v>
      </c>
      <c r="T2283">
        <v>669497741</v>
      </c>
    </row>
    <row r="2284" spans="1:20" x14ac:dyDescent="0.25">
      <c r="A2284">
        <v>340222</v>
      </c>
      <c r="B2284" t="s">
        <v>11210</v>
      </c>
      <c r="C2284" t="s">
        <v>11211</v>
      </c>
      <c r="D2284" t="s">
        <v>2269</v>
      </c>
      <c r="E2284" t="s">
        <v>2269</v>
      </c>
      <c r="F2284">
        <v>2009</v>
      </c>
      <c r="G2284" t="s">
        <v>7294</v>
      </c>
      <c r="H2284" t="s">
        <v>11212</v>
      </c>
      <c r="I2284" t="s">
        <v>11213</v>
      </c>
      <c r="J2284" t="s">
        <v>26</v>
      </c>
      <c r="K2284" t="s">
        <v>27</v>
      </c>
      <c r="L2284" t="b">
        <v>1</v>
      </c>
      <c r="M2284" t="s">
        <v>11214</v>
      </c>
      <c r="N2284" t="str">
        <f>"665.7/76"</f>
        <v>665.7/76</v>
      </c>
      <c r="O2284" t="s">
        <v>11215</v>
      </c>
      <c r="P2284" t="b">
        <v>0</v>
      </c>
      <c r="Q2284" t="b">
        <v>0</v>
      </c>
      <c r="R2284" t="str">
        <f>"9781607414612"</f>
        <v>9781607414612</v>
      </c>
      <c r="S2284" t="str">
        <f>"9781611226836"</f>
        <v>9781611226836</v>
      </c>
      <c r="T2284">
        <v>676976016</v>
      </c>
    </row>
    <row r="2285" spans="1:20" x14ac:dyDescent="0.25">
      <c r="A2285">
        <v>340212</v>
      </c>
      <c r="B2285" t="s">
        <v>11216</v>
      </c>
      <c r="D2285" t="s">
        <v>2269</v>
      </c>
      <c r="E2285" t="s">
        <v>2269</v>
      </c>
      <c r="F2285">
        <v>2009</v>
      </c>
      <c r="G2285" t="s">
        <v>9266</v>
      </c>
      <c r="H2285" t="s">
        <v>11217</v>
      </c>
      <c r="I2285" t="s">
        <v>11218</v>
      </c>
      <c r="J2285" t="s">
        <v>26</v>
      </c>
      <c r="K2285" t="s">
        <v>27</v>
      </c>
      <c r="L2285" t="b">
        <v>1</v>
      </c>
      <c r="M2285" t="s">
        <v>11219</v>
      </c>
      <c r="N2285" t="str">
        <f>"615.8/45"</f>
        <v>615.8/45</v>
      </c>
      <c r="P2285" t="b">
        <v>0</v>
      </c>
      <c r="Q2285" t="b">
        <v>0</v>
      </c>
      <c r="R2285" t="str">
        <f>"9781606925379"</f>
        <v>9781606925379</v>
      </c>
      <c r="S2285" t="str">
        <f>"9781611224955"</f>
        <v>9781611224955</v>
      </c>
      <c r="T2285">
        <v>670428946</v>
      </c>
    </row>
    <row r="2286" spans="1:20" x14ac:dyDescent="0.25">
      <c r="A2286">
        <v>340169</v>
      </c>
      <c r="B2286" t="s">
        <v>11220</v>
      </c>
      <c r="D2286" t="s">
        <v>2269</v>
      </c>
      <c r="E2286" t="s">
        <v>2269</v>
      </c>
      <c r="F2286">
        <v>2009</v>
      </c>
      <c r="G2286" t="s">
        <v>1396</v>
      </c>
      <c r="H2286" t="s">
        <v>11221</v>
      </c>
      <c r="I2286" t="s">
        <v>11222</v>
      </c>
      <c r="J2286" t="s">
        <v>26</v>
      </c>
      <c r="K2286" t="s">
        <v>27</v>
      </c>
      <c r="L2286" t="b">
        <v>1</v>
      </c>
      <c r="M2286" t="s">
        <v>11223</v>
      </c>
      <c r="N2286" t="str">
        <f>"623.3"</f>
        <v>623.3</v>
      </c>
      <c r="O2286" t="s">
        <v>11224</v>
      </c>
      <c r="P2286" t="b">
        <v>0</v>
      </c>
      <c r="Q2286" t="b">
        <v>0</v>
      </c>
      <c r="R2286" t="str">
        <f>"9781607414759"</f>
        <v>9781607414759</v>
      </c>
      <c r="S2286" t="str">
        <f>"9781611224863"</f>
        <v>9781611224863</v>
      </c>
      <c r="T2286">
        <v>670430129</v>
      </c>
    </row>
    <row r="2287" spans="1:20" x14ac:dyDescent="0.25">
      <c r="A2287">
        <v>340162</v>
      </c>
      <c r="B2287" t="s">
        <v>11225</v>
      </c>
      <c r="C2287" t="s">
        <v>11226</v>
      </c>
      <c r="D2287" t="s">
        <v>2269</v>
      </c>
      <c r="E2287" t="s">
        <v>2269</v>
      </c>
      <c r="F2287">
        <v>2009</v>
      </c>
      <c r="G2287" t="s">
        <v>11227</v>
      </c>
      <c r="H2287" t="s">
        <v>11228</v>
      </c>
      <c r="I2287" t="s">
        <v>11229</v>
      </c>
      <c r="J2287" t="s">
        <v>26</v>
      </c>
      <c r="K2287" t="s">
        <v>27</v>
      </c>
      <c r="L2287" t="b">
        <v>1</v>
      </c>
      <c r="M2287" t="s">
        <v>11230</v>
      </c>
      <c r="N2287" t="str">
        <f>"333.793"</f>
        <v>333.793</v>
      </c>
      <c r="P2287" t="b">
        <v>0</v>
      </c>
      <c r="Q2287" t="b">
        <v>0</v>
      </c>
      <c r="R2287" t="str">
        <f>"9781607412694"</f>
        <v>9781607412694</v>
      </c>
      <c r="S2287" t="str">
        <f>"9781611224580"</f>
        <v>9781611224580</v>
      </c>
      <c r="T2287">
        <v>704273105</v>
      </c>
    </row>
    <row r="2288" spans="1:20" x14ac:dyDescent="0.25">
      <c r="A2288">
        <v>340142</v>
      </c>
      <c r="B2288" t="s">
        <v>11231</v>
      </c>
      <c r="C2288" t="s">
        <v>11232</v>
      </c>
      <c r="D2288" t="s">
        <v>2269</v>
      </c>
      <c r="E2288" t="s">
        <v>2269</v>
      </c>
      <c r="F2288">
        <v>2009</v>
      </c>
      <c r="G2288" t="s">
        <v>11009</v>
      </c>
      <c r="H2288" t="s">
        <v>11233</v>
      </c>
      <c r="I2288" t="s">
        <v>11234</v>
      </c>
      <c r="J2288" t="s">
        <v>26</v>
      </c>
      <c r="K2288" t="s">
        <v>27</v>
      </c>
      <c r="L2288" t="b">
        <v>1</v>
      </c>
      <c r="M2288" t="s">
        <v>11235</v>
      </c>
      <c r="N2288" t="str">
        <f>"681.2"</f>
        <v>681.2</v>
      </c>
      <c r="O2288" t="s">
        <v>10849</v>
      </c>
      <c r="P2288" t="b">
        <v>0</v>
      </c>
      <c r="Q2288" t="b">
        <v>0</v>
      </c>
      <c r="R2288" t="str">
        <f>"9781607413141"</f>
        <v>9781607413141</v>
      </c>
      <c r="S2288" t="str">
        <f>"9781617618017"</f>
        <v>9781617618017</v>
      </c>
      <c r="T2288">
        <v>670429664</v>
      </c>
    </row>
    <row r="2289" spans="1:20" x14ac:dyDescent="0.25">
      <c r="A2289">
        <v>340131</v>
      </c>
      <c r="B2289" t="s">
        <v>11236</v>
      </c>
      <c r="C2289" t="s">
        <v>11237</v>
      </c>
      <c r="D2289" t="s">
        <v>2269</v>
      </c>
      <c r="E2289" t="s">
        <v>2269</v>
      </c>
      <c r="F2289">
        <v>2009</v>
      </c>
      <c r="G2289" t="s">
        <v>9543</v>
      </c>
      <c r="H2289" t="s">
        <v>11238</v>
      </c>
      <c r="I2289" t="s">
        <v>11239</v>
      </c>
      <c r="J2289" t="s">
        <v>26</v>
      </c>
      <c r="K2289" t="s">
        <v>27</v>
      </c>
      <c r="L2289" t="b">
        <v>1</v>
      </c>
      <c r="M2289" t="s">
        <v>11240</v>
      </c>
      <c r="N2289" t="str">
        <f>"620.5"</f>
        <v>620.5</v>
      </c>
      <c r="P2289" t="b">
        <v>0</v>
      </c>
      <c r="Q2289" t="b">
        <v>0</v>
      </c>
      <c r="R2289" t="str">
        <f>"9781606927274"</f>
        <v>9781606927274</v>
      </c>
      <c r="S2289" t="str">
        <f>"9781617618222"</f>
        <v>9781617618222</v>
      </c>
      <c r="T2289">
        <v>670429028</v>
      </c>
    </row>
    <row r="2290" spans="1:20" x14ac:dyDescent="0.25">
      <c r="A2290">
        <v>340130</v>
      </c>
      <c r="B2290" t="s">
        <v>11241</v>
      </c>
      <c r="D2290" t="s">
        <v>2269</v>
      </c>
      <c r="E2290" t="s">
        <v>2269</v>
      </c>
      <c r="F2290">
        <v>2009</v>
      </c>
      <c r="G2290" t="s">
        <v>11242</v>
      </c>
      <c r="H2290" t="s">
        <v>11243</v>
      </c>
      <c r="I2290" t="s">
        <v>11244</v>
      </c>
      <c r="J2290" t="s">
        <v>26</v>
      </c>
      <c r="K2290" t="s">
        <v>27</v>
      </c>
      <c r="L2290" t="b">
        <v>1</v>
      </c>
      <c r="M2290" t="s">
        <v>11245</v>
      </c>
      <c r="N2290" t="str">
        <f>"363.11/96205"</f>
        <v>363.11/96205</v>
      </c>
      <c r="O2290" t="s">
        <v>10849</v>
      </c>
      <c r="P2290" t="b">
        <v>0</v>
      </c>
      <c r="Q2290" t="b">
        <v>0</v>
      </c>
      <c r="R2290" t="str">
        <f>"9781606926789"</f>
        <v>9781606926789</v>
      </c>
      <c r="S2290" t="str">
        <f>"9781617618246"</f>
        <v>9781617618246</v>
      </c>
      <c r="T2290">
        <v>670430472</v>
      </c>
    </row>
    <row r="2291" spans="1:20" x14ac:dyDescent="0.25">
      <c r="A2291">
        <v>340129</v>
      </c>
      <c r="B2291" t="s">
        <v>11246</v>
      </c>
      <c r="D2291" t="s">
        <v>2269</v>
      </c>
      <c r="E2291" t="s">
        <v>2269</v>
      </c>
      <c r="F2291">
        <v>2009</v>
      </c>
      <c r="G2291" t="s">
        <v>9543</v>
      </c>
      <c r="H2291" t="s">
        <v>11247</v>
      </c>
      <c r="I2291" t="s">
        <v>11248</v>
      </c>
      <c r="J2291" t="s">
        <v>26</v>
      </c>
      <c r="K2291" t="s">
        <v>27</v>
      </c>
      <c r="L2291" t="b">
        <v>1</v>
      </c>
      <c r="M2291" t="s">
        <v>11249</v>
      </c>
      <c r="N2291" t="str">
        <f>"620/.5"</f>
        <v>620/.5</v>
      </c>
      <c r="O2291" t="s">
        <v>10849</v>
      </c>
      <c r="P2291" t="b">
        <v>0</v>
      </c>
      <c r="Q2291" t="b">
        <v>0</v>
      </c>
      <c r="R2291" t="str">
        <f>"9781607410287"</f>
        <v>9781607410287</v>
      </c>
      <c r="S2291" t="str">
        <f>"9781617618277"</f>
        <v>9781617618277</v>
      </c>
      <c r="T2291">
        <v>670429660</v>
      </c>
    </row>
    <row r="2292" spans="1:20" x14ac:dyDescent="0.25">
      <c r="A2292">
        <v>340126</v>
      </c>
      <c r="B2292" t="s">
        <v>11250</v>
      </c>
      <c r="D2292" t="s">
        <v>2269</v>
      </c>
      <c r="E2292" t="s">
        <v>2269</v>
      </c>
      <c r="F2292">
        <v>2009</v>
      </c>
      <c r="G2292" t="s">
        <v>9543</v>
      </c>
      <c r="H2292" t="s">
        <v>11251</v>
      </c>
      <c r="I2292" t="s">
        <v>11252</v>
      </c>
      <c r="J2292" t="s">
        <v>26</v>
      </c>
      <c r="K2292" t="s">
        <v>27</v>
      </c>
      <c r="L2292" t="b">
        <v>1</v>
      </c>
      <c r="M2292" t="s">
        <v>11253</v>
      </c>
      <c r="N2292" t="str">
        <f>"620.5"</f>
        <v>620.5</v>
      </c>
      <c r="O2292" t="s">
        <v>10849</v>
      </c>
      <c r="P2292" t="b">
        <v>0</v>
      </c>
      <c r="Q2292" t="b">
        <v>0</v>
      </c>
      <c r="R2292" t="str">
        <f>"9781606926628"</f>
        <v>9781606926628</v>
      </c>
      <c r="S2292" t="str">
        <f>"9781617618499"</f>
        <v>9781617618499</v>
      </c>
      <c r="T2292">
        <v>676849654</v>
      </c>
    </row>
    <row r="2293" spans="1:20" x14ac:dyDescent="0.25">
      <c r="A2293">
        <v>340125</v>
      </c>
      <c r="B2293" t="s">
        <v>11254</v>
      </c>
      <c r="D2293" t="s">
        <v>2269</v>
      </c>
      <c r="E2293" t="s">
        <v>2269</v>
      </c>
      <c r="F2293">
        <v>2009</v>
      </c>
      <c r="G2293" t="s">
        <v>9543</v>
      </c>
      <c r="H2293" t="s">
        <v>11255</v>
      </c>
      <c r="I2293" t="s">
        <v>11252</v>
      </c>
      <c r="J2293" t="s">
        <v>26</v>
      </c>
      <c r="K2293" t="s">
        <v>27</v>
      </c>
      <c r="L2293" t="b">
        <v>1</v>
      </c>
      <c r="M2293" t="s">
        <v>11256</v>
      </c>
      <c r="N2293" t="str">
        <f>"620.5"</f>
        <v>620.5</v>
      </c>
      <c r="O2293" t="s">
        <v>10849</v>
      </c>
      <c r="P2293" t="b">
        <v>0</v>
      </c>
      <c r="Q2293" t="b">
        <v>0</v>
      </c>
      <c r="R2293" t="str">
        <f>"9781606926796"</f>
        <v>9781606926796</v>
      </c>
      <c r="S2293" t="str">
        <f>"9781617618604"</f>
        <v>9781617618604</v>
      </c>
      <c r="T2293">
        <v>696298062</v>
      </c>
    </row>
    <row r="2294" spans="1:20" x14ac:dyDescent="0.25">
      <c r="A2294">
        <v>340106</v>
      </c>
      <c r="B2294" t="s">
        <v>11257</v>
      </c>
      <c r="D2294" t="s">
        <v>2269</v>
      </c>
      <c r="E2294" t="s">
        <v>2269</v>
      </c>
      <c r="F2294">
        <v>2009</v>
      </c>
      <c r="G2294" t="s">
        <v>11258</v>
      </c>
      <c r="H2294" t="s">
        <v>11259</v>
      </c>
      <c r="I2294" t="s">
        <v>11260</v>
      </c>
      <c r="J2294" t="s">
        <v>26</v>
      </c>
      <c r="K2294" t="s">
        <v>27</v>
      </c>
      <c r="L2294" t="b">
        <v>1</v>
      </c>
      <c r="M2294" t="s">
        <v>11261</v>
      </c>
      <c r="N2294" t="str">
        <f>"621.31/244"</f>
        <v>621.31/244</v>
      </c>
      <c r="P2294" t="b">
        <v>0</v>
      </c>
      <c r="Q2294" t="b">
        <v>0</v>
      </c>
      <c r="R2294" t="str">
        <f>"9781607418184"</f>
        <v>9781607418184</v>
      </c>
      <c r="S2294" t="str">
        <f>"9781617616549"</f>
        <v>9781617616549</v>
      </c>
      <c r="T2294">
        <v>704273390</v>
      </c>
    </row>
    <row r="2295" spans="1:20" x14ac:dyDescent="0.25">
      <c r="A2295">
        <v>340100</v>
      </c>
      <c r="B2295" t="s">
        <v>11262</v>
      </c>
      <c r="C2295" t="s">
        <v>11263</v>
      </c>
      <c r="D2295" t="s">
        <v>2269</v>
      </c>
      <c r="E2295" t="s">
        <v>2269</v>
      </c>
      <c r="F2295">
        <v>2009</v>
      </c>
      <c r="G2295" t="s">
        <v>11264</v>
      </c>
      <c r="H2295" t="s">
        <v>11265</v>
      </c>
      <c r="I2295" t="s">
        <v>11266</v>
      </c>
      <c r="J2295" t="s">
        <v>26</v>
      </c>
      <c r="K2295" t="s">
        <v>27</v>
      </c>
      <c r="L2295" t="b">
        <v>1</v>
      </c>
      <c r="M2295" t="s">
        <v>11267</v>
      </c>
      <c r="N2295" t="str">
        <f>"615/.321"</f>
        <v>615/.321</v>
      </c>
      <c r="O2295" t="s">
        <v>9837</v>
      </c>
      <c r="P2295" t="b">
        <v>0</v>
      </c>
      <c r="Q2295" t="b">
        <v>0</v>
      </c>
      <c r="R2295" t="str">
        <f>"9781608760275"</f>
        <v>9781608760275</v>
      </c>
      <c r="S2295" t="str">
        <f>"9781617616624"</f>
        <v>9781617616624</v>
      </c>
      <c r="T2295">
        <v>670429021</v>
      </c>
    </row>
    <row r="2296" spans="1:20" x14ac:dyDescent="0.25">
      <c r="A2296">
        <v>339884</v>
      </c>
      <c r="B2296" t="s">
        <v>11268</v>
      </c>
      <c r="D2296" t="s">
        <v>2269</v>
      </c>
      <c r="E2296" t="s">
        <v>2269</v>
      </c>
      <c r="F2296">
        <v>2009</v>
      </c>
      <c r="G2296" t="s">
        <v>11269</v>
      </c>
      <c r="H2296" t="s">
        <v>11270</v>
      </c>
      <c r="I2296" t="s">
        <v>11271</v>
      </c>
      <c r="J2296" t="s">
        <v>26</v>
      </c>
      <c r="K2296" t="s">
        <v>27</v>
      </c>
      <c r="L2296" t="b">
        <v>1</v>
      </c>
      <c r="M2296" t="s">
        <v>11272</v>
      </c>
      <c r="N2296" t="str">
        <f>"621.3815"</f>
        <v>621.3815</v>
      </c>
      <c r="P2296" t="b">
        <v>0</v>
      </c>
      <c r="Q2296" t="b">
        <v>0</v>
      </c>
      <c r="R2296" t="str">
        <f>"9781606926604"</f>
        <v>9781606926604</v>
      </c>
      <c r="S2296" t="str">
        <f>"9781617618680"</f>
        <v>9781617618680</v>
      </c>
      <c r="T2296">
        <v>669489908</v>
      </c>
    </row>
    <row r="2297" spans="1:20" x14ac:dyDescent="0.25">
      <c r="A2297">
        <v>339873</v>
      </c>
      <c r="B2297" t="s">
        <v>11273</v>
      </c>
      <c r="C2297" t="s">
        <v>11274</v>
      </c>
      <c r="D2297" t="s">
        <v>2269</v>
      </c>
      <c r="E2297" t="s">
        <v>2269</v>
      </c>
      <c r="F2297">
        <v>2009</v>
      </c>
      <c r="G2297" t="s">
        <v>10831</v>
      </c>
      <c r="H2297" t="s">
        <v>11275</v>
      </c>
      <c r="I2297" t="s">
        <v>11276</v>
      </c>
      <c r="J2297" t="s">
        <v>26</v>
      </c>
      <c r="K2297" t="s">
        <v>27</v>
      </c>
      <c r="L2297" t="b">
        <v>1</v>
      </c>
      <c r="M2297" t="s">
        <v>11277</v>
      </c>
      <c r="N2297" t="str">
        <f>"612/.0154"</f>
        <v>612/.0154</v>
      </c>
      <c r="O2297" t="s">
        <v>9318</v>
      </c>
      <c r="P2297" t="b">
        <v>0</v>
      </c>
      <c r="Q2297" t="b">
        <v>0</v>
      </c>
      <c r="R2297" t="str">
        <f>"9781607416227"</f>
        <v>9781607416227</v>
      </c>
      <c r="S2297" t="str">
        <f>"9781617619144"</f>
        <v>9781617619144</v>
      </c>
      <c r="T2297">
        <v>669504325</v>
      </c>
    </row>
    <row r="2298" spans="1:20" x14ac:dyDescent="0.25">
      <c r="A2298">
        <v>339869</v>
      </c>
      <c r="B2298" t="s">
        <v>11278</v>
      </c>
      <c r="C2298" t="s">
        <v>11279</v>
      </c>
      <c r="D2298" t="s">
        <v>2269</v>
      </c>
      <c r="E2298" t="s">
        <v>2269</v>
      </c>
      <c r="F2298">
        <v>2009</v>
      </c>
      <c r="G2298" t="s">
        <v>7389</v>
      </c>
      <c r="H2298" t="s">
        <v>11280</v>
      </c>
      <c r="I2298" t="s">
        <v>7391</v>
      </c>
      <c r="J2298" t="s">
        <v>26</v>
      </c>
      <c r="K2298" t="s">
        <v>27</v>
      </c>
      <c r="L2298" t="b">
        <v>1</v>
      </c>
      <c r="M2298" t="s">
        <v>11281</v>
      </c>
      <c r="N2298" t="str">
        <f>"519.3"</f>
        <v>519.3</v>
      </c>
      <c r="P2298" t="b">
        <v>0</v>
      </c>
      <c r="Q2298" t="b">
        <v>0</v>
      </c>
      <c r="R2298" t="str">
        <f>"9781604568448"</f>
        <v>9781604568448</v>
      </c>
      <c r="S2298" t="str">
        <f>"9781617619182"</f>
        <v>9781617619182</v>
      </c>
      <c r="T2298">
        <v>669512445</v>
      </c>
    </row>
    <row r="2299" spans="1:20" x14ac:dyDescent="0.25">
      <c r="A2299">
        <v>339865</v>
      </c>
      <c r="B2299" t="s">
        <v>11282</v>
      </c>
      <c r="D2299" t="s">
        <v>2269</v>
      </c>
      <c r="E2299" t="s">
        <v>2269</v>
      </c>
      <c r="F2299">
        <v>2009</v>
      </c>
      <c r="G2299" t="s">
        <v>1054</v>
      </c>
      <c r="H2299" t="s">
        <v>11283</v>
      </c>
      <c r="I2299" t="s">
        <v>11284</v>
      </c>
      <c r="J2299" t="s">
        <v>26</v>
      </c>
      <c r="K2299" t="s">
        <v>27</v>
      </c>
      <c r="L2299" t="b">
        <v>1</v>
      </c>
      <c r="M2299" t="s">
        <v>11285</v>
      </c>
      <c r="N2299" t="str">
        <f>"616.1/2"</f>
        <v>616.1/2</v>
      </c>
      <c r="P2299" t="b">
        <v>0</v>
      </c>
      <c r="Q2299" t="b">
        <v>0</v>
      </c>
      <c r="R2299" t="str">
        <f>"9781606922972"</f>
        <v>9781606922972</v>
      </c>
      <c r="S2299" t="str">
        <f>"9781617619625"</f>
        <v>9781617619625</v>
      </c>
      <c r="T2299">
        <v>669493094</v>
      </c>
    </row>
    <row r="2300" spans="1:20" x14ac:dyDescent="0.25">
      <c r="A2300">
        <v>339568</v>
      </c>
      <c r="B2300" t="s">
        <v>11286</v>
      </c>
      <c r="C2300" t="s">
        <v>11287</v>
      </c>
      <c r="D2300" t="s">
        <v>2238</v>
      </c>
      <c r="E2300" t="s">
        <v>2239</v>
      </c>
      <c r="F2300">
        <v>2003</v>
      </c>
      <c r="G2300" t="s">
        <v>400</v>
      </c>
      <c r="H2300" t="s">
        <v>11288</v>
      </c>
      <c r="I2300" t="s">
        <v>11289</v>
      </c>
      <c r="J2300" t="s">
        <v>26</v>
      </c>
      <c r="K2300" t="s">
        <v>86</v>
      </c>
      <c r="L2300" t="b">
        <v>1</v>
      </c>
      <c r="M2300" t="s">
        <v>11290</v>
      </c>
      <c r="N2300" t="str">
        <f>"333.75/0951"</f>
        <v>333.75/0951</v>
      </c>
      <c r="P2300" t="b">
        <v>0</v>
      </c>
      <c r="R2300" t="str">
        <f>"9781891853678"</f>
        <v>9781891853678</v>
      </c>
      <c r="S2300" t="str">
        <f>"9781936331239"</f>
        <v>9781936331239</v>
      </c>
      <c r="T2300">
        <v>670429002</v>
      </c>
    </row>
    <row r="2301" spans="1:20" x14ac:dyDescent="0.25">
      <c r="A2301">
        <v>339285</v>
      </c>
      <c r="B2301" t="s">
        <v>11291</v>
      </c>
      <c r="C2301" t="s">
        <v>11292</v>
      </c>
      <c r="D2301" t="s">
        <v>2269</v>
      </c>
      <c r="E2301" t="s">
        <v>2269</v>
      </c>
      <c r="F2301">
        <v>2009</v>
      </c>
      <c r="G2301" t="s">
        <v>11293</v>
      </c>
      <c r="H2301" t="s">
        <v>11294</v>
      </c>
      <c r="I2301" t="s">
        <v>11295</v>
      </c>
      <c r="J2301" t="s">
        <v>26</v>
      </c>
      <c r="K2301" t="s">
        <v>27</v>
      </c>
      <c r="L2301" t="b">
        <v>1</v>
      </c>
      <c r="M2301" t="s">
        <v>11296</v>
      </c>
      <c r="N2301" t="str">
        <f>"333.794"</f>
        <v>333.794</v>
      </c>
      <c r="O2301" t="s">
        <v>10704</v>
      </c>
      <c r="P2301" t="b">
        <v>0</v>
      </c>
      <c r="Q2301" t="b">
        <v>0</v>
      </c>
      <c r="R2301" t="str">
        <f>"9781608760060"</f>
        <v>9781608760060</v>
      </c>
      <c r="S2301" t="str">
        <f>"9781611224498"</f>
        <v>9781611224498</v>
      </c>
      <c r="T2301">
        <v>676895318</v>
      </c>
    </row>
    <row r="2302" spans="1:20" x14ac:dyDescent="0.25">
      <c r="A2302">
        <v>339283</v>
      </c>
      <c r="B2302" t="s">
        <v>11297</v>
      </c>
      <c r="C2302" t="s">
        <v>11298</v>
      </c>
      <c r="D2302" t="s">
        <v>2269</v>
      </c>
      <c r="E2302" t="s">
        <v>2269</v>
      </c>
      <c r="F2302">
        <v>2009</v>
      </c>
      <c r="G2302" t="s">
        <v>303</v>
      </c>
      <c r="H2302" t="s">
        <v>11299</v>
      </c>
      <c r="I2302" t="s">
        <v>11300</v>
      </c>
      <c r="J2302" t="s">
        <v>26</v>
      </c>
      <c r="K2302" t="s">
        <v>27</v>
      </c>
      <c r="L2302" t="b">
        <v>1</v>
      </c>
      <c r="M2302" t="s">
        <v>11301</v>
      </c>
      <c r="N2302" t="str">
        <f>"662/.88"</f>
        <v>662/.88</v>
      </c>
      <c r="O2302" t="s">
        <v>11224</v>
      </c>
      <c r="P2302" t="b">
        <v>0</v>
      </c>
      <c r="Q2302" t="b">
        <v>0</v>
      </c>
      <c r="R2302" t="str">
        <f>"9781608765782"</f>
        <v>9781608765782</v>
      </c>
      <c r="S2302" t="str">
        <f>"9781611224450"</f>
        <v>9781611224450</v>
      </c>
      <c r="T2302">
        <v>669517534</v>
      </c>
    </row>
    <row r="2303" spans="1:20" x14ac:dyDescent="0.25">
      <c r="A2303">
        <v>339278</v>
      </c>
      <c r="B2303" t="s">
        <v>11302</v>
      </c>
      <c r="C2303" t="s">
        <v>11303</v>
      </c>
      <c r="D2303" t="s">
        <v>2269</v>
      </c>
      <c r="E2303" t="s">
        <v>2269</v>
      </c>
      <c r="F2303">
        <v>2009</v>
      </c>
      <c r="G2303" t="s">
        <v>9553</v>
      </c>
      <c r="H2303" t="s">
        <v>11304</v>
      </c>
      <c r="I2303" t="s">
        <v>11305</v>
      </c>
      <c r="J2303" t="s">
        <v>26</v>
      </c>
      <c r="K2303" t="s">
        <v>27</v>
      </c>
      <c r="L2303" t="b">
        <v>1</v>
      </c>
      <c r="M2303" t="s">
        <v>11306</v>
      </c>
      <c r="N2303" t="str">
        <f>"620.1/064015186"</f>
        <v>620.1/064015186</v>
      </c>
      <c r="O2303" t="s">
        <v>11224</v>
      </c>
      <c r="P2303" t="b">
        <v>0</v>
      </c>
      <c r="Q2303" t="b">
        <v>0</v>
      </c>
      <c r="R2303" t="str">
        <f>"9781608760244"</f>
        <v>9781608760244</v>
      </c>
      <c r="S2303" t="str">
        <f>"9781611224429"</f>
        <v>9781611224429</v>
      </c>
      <c r="T2303">
        <v>669520460</v>
      </c>
    </row>
    <row r="2304" spans="1:20" x14ac:dyDescent="0.25">
      <c r="A2304">
        <v>339277</v>
      </c>
      <c r="B2304" t="s">
        <v>11307</v>
      </c>
      <c r="D2304" t="s">
        <v>2269</v>
      </c>
      <c r="E2304" t="s">
        <v>2269</v>
      </c>
      <c r="F2304">
        <v>2009</v>
      </c>
      <c r="G2304" t="s">
        <v>303</v>
      </c>
      <c r="H2304" t="s">
        <v>11308</v>
      </c>
      <c r="I2304" t="s">
        <v>11309</v>
      </c>
      <c r="J2304" t="s">
        <v>26</v>
      </c>
      <c r="K2304" t="s">
        <v>27</v>
      </c>
      <c r="L2304" t="b">
        <v>1</v>
      </c>
      <c r="M2304" t="s">
        <v>11310</v>
      </c>
      <c r="N2304" t="str">
        <f>"662/.6692"</f>
        <v>662/.6692</v>
      </c>
      <c r="O2304" t="s">
        <v>11224</v>
      </c>
      <c r="P2304" t="b">
        <v>0</v>
      </c>
      <c r="Q2304" t="b">
        <v>0</v>
      </c>
      <c r="R2304" t="str">
        <f>"9781608760862"</f>
        <v>9781608760862</v>
      </c>
      <c r="S2304" t="str">
        <f>"9781611224436"</f>
        <v>9781611224436</v>
      </c>
      <c r="T2304">
        <v>704294223</v>
      </c>
    </row>
    <row r="2305" spans="1:20" x14ac:dyDescent="0.25">
      <c r="A2305">
        <v>339272</v>
      </c>
      <c r="B2305" t="s">
        <v>11311</v>
      </c>
      <c r="D2305" t="s">
        <v>2269</v>
      </c>
      <c r="E2305" t="s">
        <v>2269</v>
      </c>
      <c r="F2305">
        <v>2009</v>
      </c>
      <c r="G2305" t="s">
        <v>6872</v>
      </c>
      <c r="H2305" t="s">
        <v>11312</v>
      </c>
      <c r="I2305" t="s">
        <v>11313</v>
      </c>
      <c r="J2305" t="s">
        <v>26</v>
      </c>
      <c r="K2305" t="s">
        <v>27</v>
      </c>
      <c r="L2305" t="b">
        <v>1</v>
      </c>
      <c r="M2305" t="s">
        <v>11314</v>
      </c>
      <c r="N2305" t="str">
        <f>"333.79/68"</f>
        <v>333.79/68</v>
      </c>
      <c r="O2305" t="s">
        <v>11315</v>
      </c>
      <c r="P2305" t="b">
        <v>0</v>
      </c>
      <c r="Q2305" t="b">
        <v>0</v>
      </c>
      <c r="R2305" t="str">
        <f>"9781606924440"</f>
        <v>9781606924440</v>
      </c>
      <c r="S2305" t="str">
        <f>"9781611223453"</f>
        <v>9781611223453</v>
      </c>
      <c r="T2305">
        <v>669500520</v>
      </c>
    </row>
    <row r="2306" spans="1:20" x14ac:dyDescent="0.25">
      <c r="A2306">
        <v>339266</v>
      </c>
      <c r="B2306" t="s">
        <v>11316</v>
      </c>
      <c r="D2306" t="s">
        <v>2269</v>
      </c>
      <c r="E2306" t="s">
        <v>2269</v>
      </c>
      <c r="F2306">
        <v>2009</v>
      </c>
      <c r="G2306" t="s">
        <v>8793</v>
      </c>
      <c r="H2306" t="s">
        <v>11317</v>
      </c>
      <c r="I2306" t="s">
        <v>11318</v>
      </c>
      <c r="J2306" t="s">
        <v>26</v>
      </c>
      <c r="K2306" t="s">
        <v>27</v>
      </c>
      <c r="L2306" t="b">
        <v>1</v>
      </c>
      <c r="M2306" t="s">
        <v>11319</v>
      </c>
      <c r="N2306" t="str">
        <f>"333.792/40973"</f>
        <v>333.792/40973</v>
      </c>
      <c r="O2306" t="s">
        <v>11315</v>
      </c>
      <c r="P2306" t="b">
        <v>0</v>
      </c>
      <c r="Q2306" t="b">
        <v>0</v>
      </c>
      <c r="R2306" t="str">
        <f>"9781607412267"</f>
        <v>9781607412267</v>
      </c>
      <c r="S2306" t="str">
        <f>"9781611223415"</f>
        <v>9781611223415</v>
      </c>
      <c r="T2306">
        <v>676916036</v>
      </c>
    </row>
    <row r="2307" spans="1:20" x14ac:dyDescent="0.25">
      <c r="A2307">
        <v>339264</v>
      </c>
      <c r="B2307" t="s">
        <v>11320</v>
      </c>
      <c r="D2307" t="s">
        <v>2269</v>
      </c>
      <c r="E2307" t="s">
        <v>2269</v>
      </c>
      <c r="F2307">
        <v>2009</v>
      </c>
      <c r="G2307" t="s">
        <v>10034</v>
      </c>
      <c r="H2307" t="s">
        <v>11321</v>
      </c>
      <c r="I2307" t="s">
        <v>10827</v>
      </c>
      <c r="J2307" t="s">
        <v>26</v>
      </c>
      <c r="K2307" t="s">
        <v>27</v>
      </c>
      <c r="L2307" t="b">
        <v>1</v>
      </c>
      <c r="M2307" t="s">
        <v>11322</v>
      </c>
      <c r="N2307" t="str">
        <f>"616.2/09"</f>
        <v>616.2/09</v>
      </c>
      <c r="O2307" t="s">
        <v>11323</v>
      </c>
      <c r="P2307" t="b">
        <v>0</v>
      </c>
      <c r="Q2307" t="b">
        <v>0</v>
      </c>
      <c r="R2307" t="str">
        <f>"9781608769858"</f>
        <v>9781608769858</v>
      </c>
      <c r="S2307" t="str">
        <f>"9781611223361"</f>
        <v>9781611223361</v>
      </c>
      <c r="T2307">
        <v>669518256</v>
      </c>
    </row>
    <row r="2308" spans="1:20" x14ac:dyDescent="0.25">
      <c r="A2308">
        <v>339263</v>
      </c>
      <c r="B2308" t="s">
        <v>11324</v>
      </c>
      <c r="C2308" t="s">
        <v>11325</v>
      </c>
      <c r="D2308" t="s">
        <v>2269</v>
      </c>
      <c r="E2308" t="s">
        <v>2269</v>
      </c>
      <c r="F2308">
        <v>2009</v>
      </c>
      <c r="G2308" t="s">
        <v>11326</v>
      </c>
      <c r="H2308" t="s">
        <v>11327</v>
      </c>
      <c r="I2308" t="s">
        <v>11328</v>
      </c>
      <c r="J2308" t="s">
        <v>26</v>
      </c>
      <c r="K2308" t="s">
        <v>27</v>
      </c>
      <c r="L2308" t="b">
        <v>1</v>
      </c>
      <c r="M2308" t="s">
        <v>11329</v>
      </c>
      <c r="N2308" t="str">
        <f>"616/.042"</f>
        <v>616/.042</v>
      </c>
      <c r="O2308" t="s">
        <v>11330</v>
      </c>
      <c r="P2308" t="b">
        <v>0</v>
      </c>
      <c r="Q2308" t="b">
        <v>0</v>
      </c>
      <c r="R2308" t="str">
        <f>"9781607413042"</f>
        <v>9781607413042</v>
      </c>
      <c r="S2308" t="str">
        <f>"9781611223347"</f>
        <v>9781611223347</v>
      </c>
      <c r="T2308">
        <v>669494660</v>
      </c>
    </row>
    <row r="2309" spans="1:20" x14ac:dyDescent="0.25">
      <c r="A2309">
        <v>339104</v>
      </c>
      <c r="B2309" t="s">
        <v>11331</v>
      </c>
      <c r="D2309" t="s">
        <v>203</v>
      </c>
      <c r="E2309" t="s">
        <v>1109</v>
      </c>
      <c r="F2309">
        <v>2010</v>
      </c>
      <c r="G2309" t="s">
        <v>1110</v>
      </c>
      <c r="H2309" t="s">
        <v>11332</v>
      </c>
      <c r="I2309" t="s">
        <v>11333</v>
      </c>
      <c r="J2309" t="s">
        <v>26</v>
      </c>
      <c r="K2309" t="s">
        <v>86</v>
      </c>
      <c r="L2309" t="b">
        <v>1</v>
      </c>
      <c r="M2309" t="s">
        <v>11334</v>
      </c>
      <c r="N2309" t="str">
        <f>"362.204220941"</f>
        <v>362.204220941</v>
      </c>
      <c r="P2309" t="b">
        <v>0</v>
      </c>
      <c r="R2309" t="str">
        <f>"9781904671879"</f>
        <v>9781904671879</v>
      </c>
      <c r="S2309" t="str">
        <f>"9781904671886"</f>
        <v>9781904671886</v>
      </c>
      <c r="T2309">
        <v>667274402</v>
      </c>
    </row>
    <row r="2310" spans="1:20" x14ac:dyDescent="0.25">
      <c r="A2310">
        <v>337535</v>
      </c>
      <c r="B2310" t="s">
        <v>11335</v>
      </c>
      <c r="D2310" t="s">
        <v>203</v>
      </c>
      <c r="E2310" t="s">
        <v>1109</v>
      </c>
      <c r="F2310">
        <v>2010</v>
      </c>
      <c r="G2310" t="s">
        <v>1110</v>
      </c>
      <c r="H2310" t="s">
        <v>11336</v>
      </c>
      <c r="I2310" t="s">
        <v>11337</v>
      </c>
      <c r="J2310" t="s">
        <v>26</v>
      </c>
      <c r="K2310" t="s">
        <v>86</v>
      </c>
      <c r="L2310" t="b">
        <v>1</v>
      </c>
      <c r="M2310" t="s">
        <v>11338</v>
      </c>
      <c r="N2310" t="str">
        <f>"362.2"</f>
        <v>362.2</v>
      </c>
      <c r="P2310" t="b">
        <v>0</v>
      </c>
      <c r="R2310" t="str">
        <f>"9781904671923"</f>
        <v>9781904671923</v>
      </c>
      <c r="S2310" t="str">
        <f>"9781904671930"</f>
        <v>9781904671930</v>
      </c>
      <c r="T2310">
        <v>671641430</v>
      </c>
    </row>
    <row r="2311" spans="1:20" x14ac:dyDescent="0.25">
      <c r="A2311">
        <v>337458</v>
      </c>
      <c r="B2311" t="s">
        <v>11339</v>
      </c>
      <c r="C2311" t="s">
        <v>11340</v>
      </c>
      <c r="D2311" t="s">
        <v>5731</v>
      </c>
      <c r="E2311" t="s">
        <v>6240</v>
      </c>
      <c r="F2311">
        <v>2010</v>
      </c>
      <c r="G2311" t="s">
        <v>8927</v>
      </c>
      <c r="H2311" t="s">
        <v>11341</v>
      </c>
      <c r="I2311" t="s">
        <v>11342</v>
      </c>
      <c r="J2311" t="s">
        <v>26</v>
      </c>
      <c r="K2311" t="s">
        <v>86</v>
      </c>
      <c r="L2311" t="b">
        <v>1</v>
      </c>
      <c r="M2311" t="s">
        <v>11343</v>
      </c>
      <c r="N2311" t="str">
        <f>"781.65092"</f>
        <v>781.65092</v>
      </c>
      <c r="O2311" t="s">
        <v>11344</v>
      </c>
      <c r="P2311" t="b">
        <v>0</v>
      </c>
      <c r="R2311" t="str">
        <f>"9780810869974"</f>
        <v>9780810869974</v>
      </c>
      <c r="S2311" t="str">
        <f>"9780810869981"</f>
        <v>9780810869981</v>
      </c>
      <c r="T2311">
        <v>667271428</v>
      </c>
    </row>
    <row r="2312" spans="1:20" x14ac:dyDescent="0.25">
      <c r="A2312">
        <v>337441</v>
      </c>
      <c r="B2312" t="s">
        <v>11345</v>
      </c>
      <c r="D2312" t="s">
        <v>5731</v>
      </c>
      <c r="E2312" t="s">
        <v>6240</v>
      </c>
      <c r="F2312">
        <v>2010</v>
      </c>
      <c r="G2312" t="s">
        <v>11346</v>
      </c>
      <c r="H2312" t="s">
        <v>11347</v>
      </c>
      <c r="I2312" t="s">
        <v>11348</v>
      </c>
      <c r="J2312" t="s">
        <v>26</v>
      </c>
      <c r="K2312" t="s">
        <v>27</v>
      </c>
      <c r="L2312" t="b">
        <v>1</v>
      </c>
      <c r="M2312" t="s">
        <v>11349</v>
      </c>
      <c r="N2312" t="str">
        <f>"951.7/3003"</f>
        <v>951.7/3003</v>
      </c>
      <c r="O2312" t="s">
        <v>7766</v>
      </c>
      <c r="P2312" t="b">
        <v>0</v>
      </c>
      <c r="R2312" t="str">
        <f>"9780810861916"</f>
        <v>9780810861916</v>
      </c>
      <c r="S2312" t="str">
        <f>"9780810874527"</f>
        <v>9780810874527</v>
      </c>
      <c r="T2312">
        <v>667274339</v>
      </c>
    </row>
    <row r="2313" spans="1:20" x14ac:dyDescent="0.25">
      <c r="A2313">
        <v>337426</v>
      </c>
      <c r="B2313" t="s">
        <v>11350</v>
      </c>
      <c r="D2313" t="s">
        <v>5731</v>
      </c>
      <c r="E2313" t="s">
        <v>6240</v>
      </c>
      <c r="F2313">
        <v>2010</v>
      </c>
      <c r="G2313" t="s">
        <v>1632</v>
      </c>
      <c r="H2313" t="s">
        <v>11351</v>
      </c>
      <c r="J2313" t="s">
        <v>26</v>
      </c>
      <c r="K2313" t="s">
        <v>86</v>
      </c>
      <c r="L2313" t="b">
        <v>1</v>
      </c>
      <c r="M2313" t="s">
        <v>11352</v>
      </c>
      <c r="N2313" t="str">
        <f>"945.8/5003"</f>
        <v>945.8/5003</v>
      </c>
      <c r="O2313" t="s">
        <v>11353</v>
      </c>
      <c r="P2313" t="b">
        <v>0</v>
      </c>
      <c r="R2313" t="str">
        <f>"9780810853171"</f>
        <v>9780810853171</v>
      </c>
      <c r="S2313" t="str">
        <f>"9780810873902"</f>
        <v>9780810873902</v>
      </c>
      <c r="T2313">
        <v>667290636</v>
      </c>
    </row>
    <row r="2314" spans="1:20" x14ac:dyDescent="0.25">
      <c r="A2314">
        <v>336259</v>
      </c>
      <c r="B2314" t="s">
        <v>11354</v>
      </c>
      <c r="C2314" t="s">
        <v>11355</v>
      </c>
      <c r="D2314" t="s">
        <v>5518</v>
      </c>
      <c r="E2314" t="s">
        <v>5519</v>
      </c>
      <c r="F2314">
        <v>2010</v>
      </c>
      <c r="G2314" t="s">
        <v>11356</v>
      </c>
      <c r="H2314" t="s">
        <v>11357</v>
      </c>
      <c r="I2314" t="s">
        <v>11358</v>
      </c>
      <c r="J2314" t="s">
        <v>26</v>
      </c>
      <c r="K2314" t="s">
        <v>27</v>
      </c>
      <c r="L2314" t="b">
        <v>1</v>
      </c>
      <c r="M2314" t="s">
        <v>11359</v>
      </c>
      <c r="N2314" t="str">
        <f>"895.6/35093522"</f>
        <v>895.6/35093522</v>
      </c>
      <c r="P2314" t="b">
        <v>0</v>
      </c>
      <c r="R2314" t="str">
        <f>"9780824833879"</f>
        <v>9780824833879</v>
      </c>
      <c r="S2314" t="str">
        <f>"9780824860752"</f>
        <v>9780824860752</v>
      </c>
      <c r="T2314">
        <v>671812335</v>
      </c>
    </row>
    <row r="2315" spans="1:20" x14ac:dyDescent="0.25">
      <c r="A2315">
        <v>335558</v>
      </c>
      <c r="B2315" t="s">
        <v>11360</v>
      </c>
      <c r="C2315" t="s">
        <v>5099</v>
      </c>
      <c r="D2315" t="s">
        <v>226</v>
      </c>
      <c r="E2315" t="s">
        <v>226</v>
      </c>
      <c r="F2315">
        <v>2003</v>
      </c>
      <c r="G2315" t="s">
        <v>2203</v>
      </c>
      <c r="H2315" t="s">
        <v>11361</v>
      </c>
      <c r="I2315" t="s">
        <v>11362</v>
      </c>
      <c r="J2315" t="s">
        <v>26</v>
      </c>
      <c r="K2315" t="s">
        <v>27</v>
      </c>
      <c r="L2315" t="b">
        <v>1</v>
      </c>
      <c r="M2315" t="s">
        <v>11363</v>
      </c>
      <c r="N2315" t="str">
        <f>"813/.54"</f>
        <v>813/.54</v>
      </c>
      <c r="O2315" t="s">
        <v>11364</v>
      </c>
      <c r="P2315" t="b">
        <v>1</v>
      </c>
      <c r="Q2315" t="b">
        <v>0</v>
      </c>
      <c r="R2315" t="str">
        <f>"9780226561097"</f>
        <v>9780226561097</v>
      </c>
      <c r="S2315" t="str">
        <f>"9780226561134"</f>
        <v>9780226561134</v>
      </c>
      <c r="T2315">
        <v>662452481</v>
      </c>
    </row>
    <row r="2316" spans="1:20" x14ac:dyDescent="0.25">
      <c r="A2316">
        <v>334410</v>
      </c>
      <c r="B2316" t="s">
        <v>11365</v>
      </c>
      <c r="C2316" t="s">
        <v>11366</v>
      </c>
      <c r="D2316" t="s">
        <v>123</v>
      </c>
      <c r="E2316" t="s">
        <v>10629</v>
      </c>
      <c r="F2316">
        <v>2010</v>
      </c>
      <c r="G2316" t="s">
        <v>11367</v>
      </c>
      <c r="H2316" t="s">
        <v>11368</v>
      </c>
      <c r="I2316" t="s">
        <v>11369</v>
      </c>
      <c r="J2316" t="s">
        <v>26</v>
      </c>
      <c r="K2316" t="s">
        <v>48</v>
      </c>
      <c r="L2316" t="b">
        <v>1</v>
      </c>
      <c r="M2316" t="s">
        <v>11370</v>
      </c>
      <c r="N2316" t="str">
        <f>"203/.5094611"</f>
        <v>203/.5094611</v>
      </c>
      <c r="P2316" t="b">
        <v>0</v>
      </c>
      <c r="R2316" t="str">
        <f>"9781844095100"</f>
        <v>9781844095100</v>
      </c>
      <c r="S2316" t="str">
        <f>"9781844093670"</f>
        <v>9781844093670</v>
      </c>
      <c r="T2316">
        <v>670421882</v>
      </c>
    </row>
    <row r="2317" spans="1:20" x14ac:dyDescent="0.25">
      <c r="A2317">
        <v>334405</v>
      </c>
      <c r="B2317" t="s">
        <v>11371</v>
      </c>
      <c r="C2317" t="s">
        <v>11372</v>
      </c>
      <c r="D2317" t="s">
        <v>123</v>
      </c>
      <c r="E2317" t="s">
        <v>10629</v>
      </c>
      <c r="F2317">
        <v>2010</v>
      </c>
      <c r="G2317" t="s">
        <v>4811</v>
      </c>
      <c r="H2317" t="s">
        <v>11373</v>
      </c>
      <c r="I2317" t="s">
        <v>11374</v>
      </c>
      <c r="J2317" t="s">
        <v>26</v>
      </c>
      <c r="K2317" t="s">
        <v>48</v>
      </c>
      <c r="L2317" t="b">
        <v>1</v>
      </c>
      <c r="M2317" t="s">
        <v>11375</v>
      </c>
      <c r="N2317" t="str">
        <f>"205/.699"</f>
        <v>205/.699</v>
      </c>
      <c r="P2317" t="b">
        <v>0</v>
      </c>
      <c r="R2317" t="str">
        <f>"9781844091904"</f>
        <v>9781844091904</v>
      </c>
      <c r="S2317" t="str">
        <f>"9781844093571"</f>
        <v>9781844093571</v>
      </c>
      <c r="T2317">
        <v>670419126</v>
      </c>
    </row>
    <row r="2318" spans="1:20" x14ac:dyDescent="0.25">
      <c r="A2318">
        <v>334404</v>
      </c>
      <c r="B2318" t="s">
        <v>11376</v>
      </c>
      <c r="C2318" t="s">
        <v>11377</v>
      </c>
      <c r="D2318" t="s">
        <v>123</v>
      </c>
      <c r="E2318" t="s">
        <v>10629</v>
      </c>
      <c r="F2318">
        <v>2010</v>
      </c>
      <c r="G2318" t="s">
        <v>11378</v>
      </c>
      <c r="H2318" t="s">
        <v>11379</v>
      </c>
      <c r="I2318" t="s">
        <v>11380</v>
      </c>
      <c r="J2318" t="s">
        <v>26</v>
      </c>
      <c r="K2318" t="s">
        <v>48</v>
      </c>
      <c r="L2318" t="b">
        <v>1</v>
      </c>
      <c r="M2318" t="s">
        <v>11381</v>
      </c>
      <c r="N2318" t="str">
        <f>"741.2"</f>
        <v>741.2</v>
      </c>
      <c r="P2318" t="b">
        <v>0</v>
      </c>
      <c r="R2318" t="str">
        <f>"9781844091850"</f>
        <v>9781844091850</v>
      </c>
      <c r="S2318" t="str">
        <f>"9781844093564"</f>
        <v>9781844093564</v>
      </c>
      <c r="T2318">
        <v>667271573</v>
      </c>
    </row>
    <row r="2319" spans="1:20" x14ac:dyDescent="0.25">
      <c r="A2319">
        <v>334403</v>
      </c>
      <c r="B2319" t="s">
        <v>11382</v>
      </c>
      <c r="C2319" t="s">
        <v>11383</v>
      </c>
      <c r="D2319" t="s">
        <v>123</v>
      </c>
      <c r="E2319" t="s">
        <v>10629</v>
      </c>
      <c r="F2319">
        <v>2010</v>
      </c>
      <c r="G2319" t="s">
        <v>11384</v>
      </c>
      <c r="H2319" t="s">
        <v>11385</v>
      </c>
      <c r="I2319" t="s">
        <v>11386</v>
      </c>
      <c r="J2319" t="s">
        <v>26</v>
      </c>
      <c r="K2319" t="s">
        <v>48</v>
      </c>
      <c r="L2319" t="b">
        <v>1</v>
      </c>
      <c r="M2319" t="s">
        <v>11387</v>
      </c>
      <c r="N2319" t="str">
        <f>"398.09"</f>
        <v>398.09</v>
      </c>
      <c r="P2319" t="b">
        <v>0</v>
      </c>
      <c r="R2319" t="str">
        <f>"9781844091843"</f>
        <v>9781844091843</v>
      </c>
      <c r="S2319" t="str">
        <f>"9781844093731"</f>
        <v>9781844093731</v>
      </c>
      <c r="T2319">
        <v>670422873</v>
      </c>
    </row>
    <row r="2320" spans="1:20" x14ac:dyDescent="0.25">
      <c r="A2320">
        <v>333805</v>
      </c>
      <c r="B2320" t="s">
        <v>11388</v>
      </c>
      <c r="C2320" t="s">
        <v>11389</v>
      </c>
      <c r="D2320" t="s">
        <v>2269</v>
      </c>
      <c r="E2320" t="s">
        <v>2269</v>
      </c>
      <c r="F2320">
        <v>2009</v>
      </c>
      <c r="G2320" t="s">
        <v>1054</v>
      </c>
      <c r="H2320" t="s">
        <v>11390</v>
      </c>
      <c r="I2320" t="s">
        <v>11391</v>
      </c>
      <c r="J2320" t="s">
        <v>26</v>
      </c>
      <c r="K2320" t="s">
        <v>27</v>
      </c>
      <c r="L2320" t="b">
        <v>1</v>
      </c>
      <c r="M2320" t="s">
        <v>11392</v>
      </c>
      <c r="N2320" t="str">
        <f>"616.1/36"</f>
        <v>616.1/36</v>
      </c>
      <c r="P2320" t="b">
        <v>0</v>
      </c>
      <c r="Q2320" t="b">
        <v>0</v>
      </c>
      <c r="R2320" t="str">
        <f>"9781606926772"</f>
        <v>9781606926772</v>
      </c>
      <c r="S2320" t="str">
        <f>"9781617281426"</f>
        <v>9781617281426</v>
      </c>
      <c r="T2320">
        <v>663126318</v>
      </c>
    </row>
    <row r="2321" spans="1:20" x14ac:dyDescent="0.25">
      <c r="A2321">
        <v>333803</v>
      </c>
      <c r="B2321" t="s">
        <v>11393</v>
      </c>
      <c r="D2321" t="s">
        <v>2269</v>
      </c>
      <c r="E2321" t="s">
        <v>2269</v>
      </c>
      <c r="F2321">
        <v>2009</v>
      </c>
      <c r="G2321" t="s">
        <v>303</v>
      </c>
      <c r="H2321" t="s">
        <v>11394</v>
      </c>
      <c r="I2321" t="s">
        <v>11395</v>
      </c>
      <c r="J2321" t="s">
        <v>26</v>
      </c>
      <c r="K2321" t="s">
        <v>27</v>
      </c>
      <c r="L2321" t="b">
        <v>1</v>
      </c>
      <c r="M2321" t="s">
        <v>11396</v>
      </c>
      <c r="N2321" t="str">
        <f>"668.9/2"</f>
        <v>668.9/2</v>
      </c>
      <c r="O2321" t="s">
        <v>11397</v>
      </c>
      <c r="P2321" t="b">
        <v>0</v>
      </c>
      <c r="Q2321" t="b">
        <v>0</v>
      </c>
      <c r="R2321" t="str">
        <f>"9781607411703"</f>
        <v>9781607411703</v>
      </c>
      <c r="S2321" t="str">
        <f>"9781617281280"</f>
        <v>9781617281280</v>
      </c>
      <c r="T2321">
        <v>663631295</v>
      </c>
    </row>
    <row r="2322" spans="1:20" x14ac:dyDescent="0.25">
      <c r="A2322">
        <v>333772</v>
      </c>
      <c r="B2322" t="s">
        <v>11398</v>
      </c>
      <c r="D2322" t="s">
        <v>2269</v>
      </c>
      <c r="E2322" t="s">
        <v>2269</v>
      </c>
      <c r="F2322">
        <v>2009</v>
      </c>
      <c r="G2322" t="s">
        <v>11399</v>
      </c>
      <c r="H2322" t="s">
        <v>11400</v>
      </c>
      <c r="I2322" t="s">
        <v>11401</v>
      </c>
      <c r="J2322" t="s">
        <v>26</v>
      </c>
      <c r="K2322" t="s">
        <v>27</v>
      </c>
      <c r="L2322" t="b">
        <v>1</v>
      </c>
      <c r="M2322" t="s">
        <v>11402</v>
      </c>
      <c r="N2322" t="str">
        <f>"621.3692"</f>
        <v>621.3692</v>
      </c>
      <c r="P2322" t="b">
        <v>0</v>
      </c>
      <c r="Q2322" t="b">
        <v>0</v>
      </c>
      <c r="R2322" t="str">
        <f>"9781606926741"</f>
        <v>9781606926741</v>
      </c>
      <c r="S2322" t="str">
        <f>"9781617614415"</f>
        <v>9781617614415</v>
      </c>
      <c r="T2322">
        <v>830627840</v>
      </c>
    </row>
    <row r="2323" spans="1:20" x14ac:dyDescent="0.25">
      <c r="A2323">
        <v>333735</v>
      </c>
      <c r="B2323" t="s">
        <v>11403</v>
      </c>
      <c r="D2323" t="s">
        <v>2269</v>
      </c>
      <c r="E2323" t="s">
        <v>2269</v>
      </c>
      <c r="F2323">
        <v>2009</v>
      </c>
      <c r="G2323" t="s">
        <v>8887</v>
      </c>
      <c r="H2323" t="s">
        <v>11404</v>
      </c>
      <c r="I2323" t="s">
        <v>11405</v>
      </c>
      <c r="J2323" t="s">
        <v>26</v>
      </c>
      <c r="K2323" t="s">
        <v>27</v>
      </c>
      <c r="L2323" t="b">
        <v>1</v>
      </c>
      <c r="M2323" t="s">
        <v>11406</v>
      </c>
      <c r="N2323" t="str">
        <f>"530.15"</f>
        <v>530.15</v>
      </c>
      <c r="P2323" t="b">
        <v>0</v>
      </c>
      <c r="Q2323" t="b">
        <v>0</v>
      </c>
      <c r="R2323" t="str">
        <f>"9781604569636"</f>
        <v>9781604569636</v>
      </c>
      <c r="S2323" t="str">
        <f>"9781617287671"</f>
        <v>9781617287671</v>
      </c>
      <c r="T2323">
        <v>853455911</v>
      </c>
    </row>
    <row r="2324" spans="1:20" x14ac:dyDescent="0.25">
      <c r="A2324">
        <v>333730</v>
      </c>
      <c r="B2324" t="s">
        <v>11407</v>
      </c>
      <c r="C2324" t="s">
        <v>11408</v>
      </c>
      <c r="D2324" t="s">
        <v>2269</v>
      </c>
      <c r="E2324" t="s">
        <v>2269</v>
      </c>
      <c r="F2324">
        <v>2009</v>
      </c>
      <c r="G2324" t="s">
        <v>11409</v>
      </c>
      <c r="H2324" t="s">
        <v>11410</v>
      </c>
      <c r="I2324" t="s">
        <v>11411</v>
      </c>
      <c r="J2324" t="s">
        <v>26</v>
      </c>
      <c r="K2324" t="s">
        <v>27</v>
      </c>
      <c r="L2324" t="b">
        <v>1</v>
      </c>
      <c r="M2324" t="s">
        <v>11412</v>
      </c>
      <c r="N2324" t="str">
        <f>"508.798/7"</f>
        <v>508.798/7</v>
      </c>
      <c r="P2324" t="b">
        <v>0</v>
      </c>
      <c r="R2324" t="str">
        <f>"9781606923689"</f>
        <v>9781606923689</v>
      </c>
      <c r="S2324" t="str">
        <f>"9781617286674"</f>
        <v>9781617286674</v>
      </c>
      <c r="T2324">
        <v>662452525</v>
      </c>
    </row>
    <row r="2325" spans="1:20" x14ac:dyDescent="0.25">
      <c r="A2325">
        <v>333729</v>
      </c>
      <c r="B2325" t="s">
        <v>11413</v>
      </c>
      <c r="D2325" t="s">
        <v>2269</v>
      </c>
      <c r="E2325" t="s">
        <v>2269</v>
      </c>
      <c r="F2325">
        <v>2009</v>
      </c>
      <c r="G2325" t="s">
        <v>11414</v>
      </c>
      <c r="H2325" t="s">
        <v>11415</v>
      </c>
      <c r="I2325" t="s">
        <v>11416</v>
      </c>
      <c r="J2325" t="s">
        <v>26</v>
      </c>
      <c r="K2325" t="s">
        <v>27</v>
      </c>
      <c r="L2325" t="b">
        <v>1</v>
      </c>
      <c r="M2325" t="s">
        <v>11417</v>
      </c>
      <c r="N2325" t="str">
        <f>"621.36/6"</f>
        <v>621.36/6</v>
      </c>
      <c r="O2325" t="s">
        <v>11418</v>
      </c>
      <c r="P2325" t="b">
        <v>0</v>
      </c>
      <c r="Q2325" t="b">
        <v>0</v>
      </c>
      <c r="R2325" t="str">
        <f>"9781607411642"</f>
        <v>9781607411642</v>
      </c>
      <c r="S2325" t="str">
        <f>"9781617286704"</f>
        <v>9781617286704</v>
      </c>
      <c r="T2325">
        <v>665799540</v>
      </c>
    </row>
    <row r="2326" spans="1:20" x14ac:dyDescent="0.25">
      <c r="A2326">
        <v>333723</v>
      </c>
      <c r="B2326" t="s">
        <v>11419</v>
      </c>
      <c r="D2326" t="s">
        <v>2269</v>
      </c>
      <c r="E2326" t="s">
        <v>2269</v>
      </c>
      <c r="F2326">
        <v>2009</v>
      </c>
      <c r="G2326" t="s">
        <v>10066</v>
      </c>
      <c r="H2326" t="s">
        <v>11420</v>
      </c>
      <c r="I2326" t="s">
        <v>11421</v>
      </c>
      <c r="J2326" t="s">
        <v>26</v>
      </c>
      <c r="K2326" t="s">
        <v>27</v>
      </c>
      <c r="L2326" t="b">
        <v>1</v>
      </c>
      <c r="M2326" t="s">
        <v>11422</v>
      </c>
      <c r="N2326" t="str">
        <f>"660.6/2"</f>
        <v>660.6/2</v>
      </c>
      <c r="O2326" t="s">
        <v>10785</v>
      </c>
      <c r="P2326" t="b">
        <v>0</v>
      </c>
      <c r="Q2326" t="b">
        <v>0</v>
      </c>
      <c r="R2326" t="str">
        <f>"9781607411697"</f>
        <v>9781607411697</v>
      </c>
      <c r="S2326" t="str">
        <f>"9781617286605"</f>
        <v>9781617286605</v>
      </c>
      <c r="T2326">
        <v>666431431</v>
      </c>
    </row>
    <row r="2327" spans="1:20" x14ac:dyDescent="0.25">
      <c r="A2327">
        <v>333722</v>
      </c>
      <c r="B2327" t="s">
        <v>11423</v>
      </c>
      <c r="D2327" t="s">
        <v>2269</v>
      </c>
      <c r="E2327" t="s">
        <v>9542</v>
      </c>
      <c r="F2327">
        <v>2009</v>
      </c>
      <c r="G2327" t="s">
        <v>535</v>
      </c>
      <c r="H2327" t="s">
        <v>11424</v>
      </c>
      <c r="I2327" t="s">
        <v>11425</v>
      </c>
      <c r="J2327" t="s">
        <v>26</v>
      </c>
      <c r="K2327" t="s">
        <v>27</v>
      </c>
      <c r="L2327" t="b">
        <v>1</v>
      </c>
      <c r="M2327" t="s">
        <v>11426</v>
      </c>
      <c r="N2327" t="str">
        <f>"519.5"</f>
        <v>519.5</v>
      </c>
      <c r="P2327" t="b">
        <v>0</v>
      </c>
      <c r="Q2327" t="b">
        <v>0</v>
      </c>
      <c r="R2327" t="str">
        <f>"9781604561241"</f>
        <v>9781604561241</v>
      </c>
      <c r="S2327" t="str">
        <f>"9781617286643"</f>
        <v>9781617286643</v>
      </c>
      <c r="T2327">
        <v>662453158</v>
      </c>
    </row>
    <row r="2328" spans="1:20" x14ac:dyDescent="0.25">
      <c r="A2328">
        <v>333721</v>
      </c>
      <c r="B2328" t="s">
        <v>11427</v>
      </c>
      <c r="C2328" t="s">
        <v>11428</v>
      </c>
      <c r="D2328" t="s">
        <v>2269</v>
      </c>
      <c r="E2328" t="s">
        <v>2269</v>
      </c>
      <c r="F2328">
        <v>2009</v>
      </c>
      <c r="G2328" t="s">
        <v>6772</v>
      </c>
      <c r="H2328" t="s">
        <v>11429</v>
      </c>
      <c r="I2328" t="s">
        <v>11430</v>
      </c>
      <c r="J2328" t="s">
        <v>26</v>
      </c>
      <c r="K2328" t="s">
        <v>27</v>
      </c>
      <c r="L2328" t="b">
        <v>1</v>
      </c>
      <c r="M2328" t="s">
        <v>11431</v>
      </c>
      <c r="N2328" t="str">
        <f>"591.72/7"</f>
        <v>591.72/7</v>
      </c>
      <c r="O2328" t="s">
        <v>11432</v>
      </c>
      <c r="P2328" t="b">
        <v>0</v>
      </c>
      <c r="Q2328" t="b">
        <v>0</v>
      </c>
      <c r="R2328" t="str">
        <f>"9781606929742"</f>
        <v>9781606929742</v>
      </c>
      <c r="S2328" t="str">
        <f>"9781617285998"</f>
        <v>9781617285998</v>
      </c>
      <c r="T2328">
        <v>662452576</v>
      </c>
    </row>
    <row r="2329" spans="1:20" x14ac:dyDescent="0.25">
      <c r="A2329">
        <v>333718</v>
      </c>
      <c r="B2329" t="s">
        <v>4616</v>
      </c>
      <c r="C2329" t="s">
        <v>11433</v>
      </c>
      <c r="D2329" t="s">
        <v>2269</v>
      </c>
      <c r="E2329" t="s">
        <v>2269</v>
      </c>
      <c r="F2329">
        <v>2009</v>
      </c>
      <c r="G2329" t="s">
        <v>11434</v>
      </c>
      <c r="H2329" t="s">
        <v>11435</v>
      </c>
      <c r="I2329" t="s">
        <v>11436</v>
      </c>
      <c r="J2329" t="s">
        <v>26</v>
      </c>
      <c r="K2329" t="s">
        <v>27</v>
      </c>
      <c r="L2329" t="b">
        <v>1</v>
      </c>
      <c r="M2329" t="s">
        <v>11437</v>
      </c>
      <c r="N2329" t="str">
        <f>"551.21"</f>
        <v>551.21</v>
      </c>
      <c r="P2329" t="b">
        <v>0</v>
      </c>
      <c r="Q2329" t="b">
        <v>0</v>
      </c>
      <c r="R2329" t="str">
        <f>"9781606929162"</f>
        <v>9781606929162</v>
      </c>
      <c r="S2329" t="str">
        <f>"9781617285974"</f>
        <v>9781617285974</v>
      </c>
      <c r="T2329">
        <v>754759421</v>
      </c>
    </row>
    <row r="2330" spans="1:20" x14ac:dyDescent="0.25">
      <c r="A2330">
        <v>333716</v>
      </c>
      <c r="B2330" t="s">
        <v>11438</v>
      </c>
      <c r="D2330" t="s">
        <v>2269</v>
      </c>
      <c r="E2330" t="s">
        <v>2269</v>
      </c>
      <c r="F2330">
        <v>2009</v>
      </c>
      <c r="G2330" t="s">
        <v>355</v>
      </c>
      <c r="H2330" t="s">
        <v>11439</v>
      </c>
      <c r="I2330" t="s">
        <v>11440</v>
      </c>
      <c r="J2330" t="s">
        <v>26</v>
      </c>
      <c r="K2330" t="s">
        <v>27</v>
      </c>
      <c r="L2330" t="b">
        <v>1</v>
      </c>
      <c r="M2330" t="s">
        <v>11441</v>
      </c>
      <c r="N2330" t="str">
        <f>"675/.230286"</f>
        <v>675/.230286</v>
      </c>
      <c r="O2330" t="s">
        <v>11442</v>
      </c>
      <c r="P2330" t="b">
        <v>0</v>
      </c>
      <c r="Q2330" t="b">
        <v>0</v>
      </c>
      <c r="R2330" t="str">
        <f>"9781607418368"</f>
        <v>9781607418368</v>
      </c>
      <c r="S2330" t="str">
        <f>"9781617285967"</f>
        <v>9781617285967</v>
      </c>
      <c r="T2330">
        <v>666378297</v>
      </c>
    </row>
    <row r="2331" spans="1:20" x14ac:dyDescent="0.25">
      <c r="A2331">
        <v>333715</v>
      </c>
      <c r="B2331" t="s">
        <v>11443</v>
      </c>
      <c r="D2331" t="s">
        <v>2269</v>
      </c>
      <c r="E2331" t="s">
        <v>2269</v>
      </c>
      <c r="F2331">
        <v>2009</v>
      </c>
      <c r="G2331" t="s">
        <v>1681</v>
      </c>
      <c r="H2331" t="s">
        <v>11444</v>
      </c>
      <c r="I2331" t="s">
        <v>11445</v>
      </c>
      <c r="J2331" t="s">
        <v>26</v>
      </c>
      <c r="K2331" t="s">
        <v>27</v>
      </c>
      <c r="L2331" t="b">
        <v>1</v>
      </c>
      <c r="M2331" t="s">
        <v>11446</v>
      </c>
      <c r="N2331" t="str">
        <f>"333.720998"</f>
        <v>333.720998</v>
      </c>
      <c r="O2331" t="s">
        <v>11447</v>
      </c>
      <c r="P2331" t="b">
        <v>0</v>
      </c>
      <c r="Q2331" t="b">
        <v>0</v>
      </c>
      <c r="R2331" t="str">
        <f>"9781606928479"</f>
        <v>9781606928479</v>
      </c>
      <c r="S2331" t="str">
        <f>"9781617285929"</f>
        <v>9781617285929</v>
      </c>
      <c r="T2331">
        <v>666885565</v>
      </c>
    </row>
    <row r="2332" spans="1:20" x14ac:dyDescent="0.25">
      <c r="A2332">
        <v>333714</v>
      </c>
      <c r="B2332" t="s">
        <v>11448</v>
      </c>
      <c r="C2332" t="s">
        <v>11449</v>
      </c>
      <c r="D2332" t="s">
        <v>2269</v>
      </c>
      <c r="E2332" t="s">
        <v>2269</v>
      </c>
      <c r="F2332">
        <v>2009</v>
      </c>
      <c r="G2332" t="s">
        <v>11326</v>
      </c>
      <c r="H2332" t="s">
        <v>11450</v>
      </c>
      <c r="I2332" t="s">
        <v>11451</v>
      </c>
      <c r="J2332" t="s">
        <v>26</v>
      </c>
      <c r="K2332" t="s">
        <v>27</v>
      </c>
      <c r="L2332" t="b">
        <v>1</v>
      </c>
      <c r="M2332" t="s">
        <v>11452</v>
      </c>
      <c r="N2332" t="str">
        <f>"616/.042"</f>
        <v>616/.042</v>
      </c>
      <c r="O2332" t="s">
        <v>11453</v>
      </c>
      <c r="P2332" t="b">
        <v>0</v>
      </c>
      <c r="Q2332" t="b">
        <v>0</v>
      </c>
      <c r="R2332" t="str">
        <f>"9781607416951"</f>
        <v>9781607416951</v>
      </c>
      <c r="S2332" t="str">
        <f>"9781617285936"</f>
        <v>9781617285936</v>
      </c>
      <c r="T2332">
        <v>662453300</v>
      </c>
    </row>
    <row r="2333" spans="1:20" x14ac:dyDescent="0.25">
      <c r="A2333">
        <v>333713</v>
      </c>
      <c r="B2333" t="s">
        <v>11454</v>
      </c>
      <c r="D2333" t="s">
        <v>2269</v>
      </c>
      <c r="E2333" t="s">
        <v>2269</v>
      </c>
      <c r="F2333">
        <v>2009</v>
      </c>
      <c r="G2333" t="s">
        <v>8293</v>
      </c>
      <c r="H2333" t="s">
        <v>11455</v>
      </c>
      <c r="I2333" t="s">
        <v>11456</v>
      </c>
      <c r="J2333" t="s">
        <v>26</v>
      </c>
      <c r="K2333" t="s">
        <v>27</v>
      </c>
      <c r="L2333" t="b">
        <v>1</v>
      </c>
      <c r="M2333" t="s">
        <v>11457</v>
      </c>
      <c r="N2333" t="str">
        <f>"628.1/68"</f>
        <v>628.1/68</v>
      </c>
      <c r="O2333" t="s">
        <v>9837</v>
      </c>
      <c r="P2333" t="b">
        <v>0</v>
      </c>
      <c r="Q2333" t="b">
        <v>0</v>
      </c>
      <c r="R2333" t="str">
        <f>"9781608761043"</f>
        <v>9781608761043</v>
      </c>
      <c r="S2333" t="str">
        <f>"9781617285905"</f>
        <v>9781617285905</v>
      </c>
      <c r="T2333">
        <v>662459081</v>
      </c>
    </row>
    <row r="2334" spans="1:20" x14ac:dyDescent="0.25">
      <c r="A2334">
        <v>333710</v>
      </c>
      <c r="B2334" t="s">
        <v>11458</v>
      </c>
      <c r="D2334" t="s">
        <v>2269</v>
      </c>
      <c r="E2334" t="s">
        <v>2269</v>
      </c>
      <c r="F2334">
        <v>2009</v>
      </c>
      <c r="G2334" t="s">
        <v>8580</v>
      </c>
      <c r="H2334" t="s">
        <v>11459</v>
      </c>
      <c r="I2334" t="s">
        <v>11460</v>
      </c>
      <c r="J2334" t="s">
        <v>26</v>
      </c>
      <c r="K2334" t="s">
        <v>27</v>
      </c>
      <c r="L2334" t="b">
        <v>1</v>
      </c>
      <c r="M2334" t="s">
        <v>11461</v>
      </c>
      <c r="N2334" t="str">
        <f>"615/.704"</f>
        <v>615/.704</v>
      </c>
      <c r="O2334" t="s">
        <v>11462</v>
      </c>
      <c r="P2334" t="b">
        <v>0</v>
      </c>
      <c r="Q2334" t="b">
        <v>0</v>
      </c>
      <c r="R2334" t="str">
        <f>"9781606929513"</f>
        <v>9781606929513</v>
      </c>
      <c r="S2334" t="str">
        <f>"9781617285868"</f>
        <v>9781617285868</v>
      </c>
      <c r="T2334">
        <v>662457078</v>
      </c>
    </row>
    <row r="2335" spans="1:20" x14ac:dyDescent="0.25">
      <c r="A2335">
        <v>333708</v>
      </c>
      <c r="B2335" t="s">
        <v>11463</v>
      </c>
      <c r="D2335" t="s">
        <v>2269</v>
      </c>
      <c r="E2335" t="s">
        <v>2269</v>
      </c>
      <c r="F2335">
        <v>2009</v>
      </c>
      <c r="G2335" t="s">
        <v>9548</v>
      </c>
      <c r="H2335" t="s">
        <v>11464</v>
      </c>
      <c r="I2335" t="s">
        <v>11465</v>
      </c>
      <c r="J2335" t="s">
        <v>26</v>
      </c>
      <c r="K2335" t="s">
        <v>27</v>
      </c>
      <c r="L2335" t="b">
        <v>1</v>
      </c>
      <c r="M2335" t="s">
        <v>11466</v>
      </c>
      <c r="N2335" t="str">
        <f>"620.1/12"</f>
        <v>620.1/12</v>
      </c>
      <c r="O2335" t="s">
        <v>7355</v>
      </c>
      <c r="P2335" t="b">
        <v>0</v>
      </c>
      <c r="Q2335" t="b">
        <v>0</v>
      </c>
      <c r="R2335" t="str">
        <f>"9781607415008"</f>
        <v>9781607415008</v>
      </c>
      <c r="S2335" t="str">
        <f>"9781617285844"</f>
        <v>9781617285844</v>
      </c>
      <c r="T2335">
        <v>662453132</v>
      </c>
    </row>
    <row r="2336" spans="1:20" x14ac:dyDescent="0.25">
      <c r="A2336">
        <v>333707</v>
      </c>
      <c r="B2336" t="s">
        <v>11467</v>
      </c>
      <c r="C2336" t="s">
        <v>10777</v>
      </c>
      <c r="D2336" t="s">
        <v>2269</v>
      </c>
      <c r="E2336" t="s">
        <v>2269</v>
      </c>
      <c r="F2336">
        <v>2009</v>
      </c>
      <c r="G2336" t="s">
        <v>8909</v>
      </c>
      <c r="H2336" t="s">
        <v>11468</v>
      </c>
      <c r="I2336" t="s">
        <v>11469</v>
      </c>
      <c r="J2336" t="s">
        <v>26</v>
      </c>
      <c r="K2336" t="s">
        <v>27</v>
      </c>
      <c r="L2336" t="b">
        <v>1</v>
      </c>
      <c r="M2336" t="s">
        <v>11470</v>
      </c>
      <c r="N2336" t="str">
        <f>"537.6/23"</f>
        <v>537.6/23</v>
      </c>
      <c r="P2336" t="b">
        <v>0</v>
      </c>
      <c r="Q2336" t="b">
        <v>0</v>
      </c>
      <c r="R2336" t="str">
        <f>"9781607410171"</f>
        <v>9781607410171</v>
      </c>
      <c r="S2336" t="str">
        <f>"9781617285875"</f>
        <v>9781617285875</v>
      </c>
      <c r="T2336">
        <v>665793787</v>
      </c>
    </row>
    <row r="2337" spans="1:20" x14ac:dyDescent="0.25">
      <c r="A2337">
        <v>333705</v>
      </c>
      <c r="B2337" t="s">
        <v>11471</v>
      </c>
      <c r="C2337" t="s">
        <v>11472</v>
      </c>
      <c r="D2337" t="s">
        <v>2269</v>
      </c>
      <c r="E2337" t="s">
        <v>2269</v>
      </c>
      <c r="F2337">
        <v>2009</v>
      </c>
      <c r="G2337" t="s">
        <v>400</v>
      </c>
      <c r="H2337" t="s">
        <v>11473</v>
      </c>
      <c r="I2337" t="s">
        <v>11474</v>
      </c>
      <c r="J2337" t="s">
        <v>26</v>
      </c>
      <c r="K2337" t="s">
        <v>27</v>
      </c>
      <c r="L2337" t="b">
        <v>1</v>
      </c>
      <c r="M2337" t="s">
        <v>11475</v>
      </c>
      <c r="N2337" t="str">
        <f>"628.3/64"</f>
        <v>628.3/64</v>
      </c>
      <c r="O2337" t="s">
        <v>9005</v>
      </c>
      <c r="P2337" t="b">
        <v>0</v>
      </c>
      <c r="Q2337" t="b">
        <v>0</v>
      </c>
      <c r="R2337" t="str">
        <f>"9781607418429"</f>
        <v>9781607418429</v>
      </c>
      <c r="S2337" t="str">
        <f>"9781617285790"</f>
        <v>9781617285790</v>
      </c>
      <c r="T2337">
        <v>662457956</v>
      </c>
    </row>
    <row r="2338" spans="1:20" x14ac:dyDescent="0.25">
      <c r="A2338">
        <v>333702</v>
      </c>
      <c r="B2338" t="s">
        <v>11476</v>
      </c>
      <c r="D2338" t="s">
        <v>2269</v>
      </c>
      <c r="E2338" t="s">
        <v>2269</v>
      </c>
      <c r="F2338">
        <v>2009</v>
      </c>
      <c r="G2338" t="s">
        <v>540</v>
      </c>
      <c r="H2338" t="s">
        <v>11477</v>
      </c>
      <c r="I2338" t="s">
        <v>11478</v>
      </c>
      <c r="J2338" t="s">
        <v>26</v>
      </c>
      <c r="K2338" t="s">
        <v>27</v>
      </c>
      <c r="L2338" t="b">
        <v>1</v>
      </c>
      <c r="M2338" t="s">
        <v>11479</v>
      </c>
      <c r="N2338" t="str">
        <f>"628.5/5"</f>
        <v>628.5/5</v>
      </c>
      <c r="P2338" t="b">
        <v>0</v>
      </c>
      <c r="Q2338" t="b">
        <v>0</v>
      </c>
      <c r="R2338" t="str">
        <f>"9781607413721"</f>
        <v>9781607413721</v>
      </c>
      <c r="S2338" t="str">
        <f>"9781617285783"</f>
        <v>9781617285783</v>
      </c>
      <c r="T2338">
        <v>662453050</v>
      </c>
    </row>
    <row r="2339" spans="1:20" x14ac:dyDescent="0.25">
      <c r="A2339">
        <v>333700</v>
      </c>
      <c r="B2339" t="s">
        <v>11480</v>
      </c>
      <c r="D2339" t="s">
        <v>2269</v>
      </c>
      <c r="E2339" t="s">
        <v>2269</v>
      </c>
      <c r="F2339">
        <v>2009</v>
      </c>
      <c r="G2339" t="s">
        <v>11481</v>
      </c>
      <c r="H2339" t="s">
        <v>11482</v>
      </c>
      <c r="I2339" t="s">
        <v>11483</v>
      </c>
      <c r="J2339" t="s">
        <v>26</v>
      </c>
      <c r="K2339" t="s">
        <v>27</v>
      </c>
      <c r="L2339" t="b">
        <v>1</v>
      </c>
      <c r="M2339" t="s">
        <v>11484</v>
      </c>
      <c r="N2339" t="str">
        <f>"598.2525"</f>
        <v>598.2525</v>
      </c>
      <c r="O2339" t="s">
        <v>11485</v>
      </c>
      <c r="P2339" t="b">
        <v>0</v>
      </c>
      <c r="Q2339" t="b">
        <v>0</v>
      </c>
      <c r="R2339" t="str">
        <f>"9781606929353"</f>
        <v>9781606929353</v>
      </c>
      <c r="S2339" t="str">
        <f>"9781617285738"</f>
        <v>9781617285738</v>
      </c>
      <c r="T2339">
        <v>665842165</v>
      </c>
    </row>
    <row r="2340" spans="1:20" x14ac:dyDescent="0.25">
      <c r="A2340">
        <v>333696</v>
      </c>
      <c r="B2340" t="s">
        <v>11486</v>
      </c>
      <c r="C2340" t="s">
        <v>11487</v>
      </c>
      <c r="D2340" t="s">
        <v>2269</v>
      </c>
      <c r="E2340" t="s">
        <v>2269</v>
      </c>
      <c r="F2340">
        <v>2009</v>
      </c>
      <c r="G2340" t="s">
        <v>11488</v>
      </c>
      <c r="H2340" t="s">
        <v>11489</v>
      </c>
      <c r="I2340" t="s">
        <v>11490</v>
      </c>
      <c r="J2340" t="s">
        <v>26</v>
      </c>
      <c r="K2340" t="s">
        <v>27</v>
      </c>
      <c r="L2340" t="b">
        <v>1</v>
      </c>
      <c r="M2340" t="s">
        <v>11491</v>
      </c>
      <c r="N2340" t="str">
        <f>"385"</f>
        <v>385</v>
      </c>
      <c r="O2340" t="s">
        <v>11492</v>
      </c>
      <c r="P2340" t="b">
        <v>0</v>
      </c>
      <c r="Q2340" t="b">
        <v>0</v>
      </c>
      <c r="R2340" t="str">
        <f>"9781606928639"</f>
        <v>9781606928639</v>
      </c>
      <c r="S2340" t="str">
        <f>"9781617285745"</f>
        <v>9781617285745</v>
      </c>
      <c r="T2340">
        <v>662453159</v>
      </c>
    </row>
    <row r="2341" spans="1:20" x14ac:dyDescent="0.25">
      <c r="A2341">
        <v>333695</v>
      </c>
      <c r="B2341" t="s">
        <v>11493</v>
      </c>
      <c r="D2341" t="s">
        <v>2269</v>
      </c>
      <c r="E2341" t="s">
        <v>2269</v>
      </c>
      <c r="F2341">
        <v>2009</v>
      </c>
      <c r="G2341" t="s">
        <v>11494</v>
      </c>
      <c r="H2341" t="s">
        <v>11495</v>
      </c>
      <c r="I2341" t="s">
        <v>11496</v>
      </c>
      <c r="J2341" t="s">
        <v>26</v>
      </c>
      <c r="K2341" t="s">
        <v>27</v>
      </c>
      <c r="L2341" t="b">
        <v>1</v>
      </c>
      <c r="M2341" t="s">
        <v>11497</v>
      </c>
      <c r="N2341" t="str">
        <f>"658"</f>
        <v>658</v>
      </c>
      <c r="O2341" t="s">
        <v>11498</v>
      </c>
      <c r="P2341" t="b">
        <v>0</v>
      </c>
      <c r="Q2341" t="b">
        <v>0</v>
      </c>
      <c r="R2341" t="str">
        <f>"9781607413103"</f>
        <v>9781607413103</v>
      </c>
      <c r="S2341" t="str">
        <f>"9781617285691"</f>
        <v>9781617285691</v>
      </c>
      <c r="T2341">
        <v>662452529</v>
      </c>
    </row>
    <row r="2342" spans="1:20" x14ac:dyDescent="0.25">
      <c r="A2342">
        <v>333694</v>
      </c>
      <c r="B2342" t="s">
        <v>11499</v>
      </c>
      <c r="C2342" t="s">
        <v>11500</v>
      </c>
      <c r="D2342" t="s">
        <v>2269</v>
      </c>
      <c r="E2342" t="s">
        <v>2269</v>
      </c>
      <c r="F2342">
        <v>2009</v>
      </c>
      <c r="G2342" t="s">
        <v>10129</v>
      </c>
      <c r="H2342" t="s">
        <v>11501</v>
      </c>
      <c r="I2342" t="s">
        <v>11502</v>
      </c>
      <c r="J2342" t="s">
        <v>26</v>
      </c>
      <c r="K2342" t="s">
        <v>27</v>
      </c>
      <c r="L2342" t="b">
        <v>1</v>
      </c>
      <c r="M2342" t="s">
        <v>11503</v>
      </c>
      <c r="N2342" t="str">
        <f>"660/.2844"</f>
        <v>660/.2844</v>
      </c>
      <c r="P2342" t="b">
        <v>0</v>
      </c>
      <c r="Q2342" t="b">
        <v>0</v>
      </c>
      <c r="R2342" t="str">
        <f>"9781607416692"</f>
        <v>9781607416692</v>
      </c>
      <c r="S2342" t="str">
        <f>"9781617285714"</f>
        <v>9781617285714</v>
      </c>
      <c r="T2342">
        <v>662452479</v>
      </c>
    </row>
    <row r="2343" spans="1:20" x14ac:dyDescent="0.25">
      <c r="A2343">
        <v>333692</v>
      </c>
      <c r="B2343" t="s">
        <v>11504</v>
      </c>
      <c r="C2343" t="s">
        <v>11505</v>
      </c>
      <c r="D2343" t="s">
        <v>2269</v>
      </c>
      <c r="E2343" t="s">
        <v>2269</v>
      </c>
      <c r="F2343">
        <v>2009</v>
      </c>
      <c r="G2343" t="s">
        <v>45</v>
      </c>
      <c r="H2343" t="s">
        <v>11506</v>
      </c>
      <c r="I2343" t="s">
        <v>11507</v>
      </c>
      <c r="J2343" t="s">
        <v>26</v>
      </c>
      <c r="K2343" t="s">
        <v>27</v>
      </c>
      <c r="L2343" t="b">
        <v>1</v>
      </c>
      <c r="M2343" t="s">
        <v>11508</v>
      </c>
      <c r="N2343" t="str">
        <f>"616.8/0471"</f>
        <v>616.8/0471</v>
      </c>
      <c r="O2343" t="s">
        <v>11509</v>
      </c>
      <c r="P2343" t="b">
        <v>0</v>
      </c>
      <c r="Q2343" t="b">
        <v>0</v>
      </c>
      <c r="R2343" t="str">
        <f>"9781607413172"</f>
        <v>9781607413172</v>
      </c>
      <c r="S2343" t="str">
        <f>"9781617285707"</f>
        <v>9781617285707</v>
      </c>
      <c r="T2343">
        <v>665795359</v>
      </c>
    </row>
    <row r="2344" spans="1:20" x14ac:dyDescent="0.25">
      <c r="A2344">
        <v>333691</v>
      </c>
      <c r="B2344" t="s">
        <v>11510</v>
      </c>
      <c r="D2344" t="s">
        <v>2269</v>
      </c>
      <c r="E2344" t="s">
        <v>2269</v>
      </c>
      <c r="F2344">
        <v>2009</v>
      </c>
      <c r="G2344" t="s">
        <v>303</v>
      </c>
      <c r="H2344" t="s">
        <v>11511</v>
      </c>
      <c r="I2344" t="s">
        <v>11512</v>
      </c>
      <c r="J2344" t="s">
        <v>26</v>
      </c>
      <c r="K2344" t="s">
        <v>27</v>
      </c>
      <c r="L2344" t="b">
        <v>1</v>
      </c>
      <c r="M2344" t="s">
        <v>11513</v>
      </c>
      <c r="N2344" t="str">
        <f>"661/.8"</f>
        <v>661/.8</v>
      </c>
      <c r="O2344" t="s">
        <v>10785</v>
      </c>
      <c r="P2344" t="b">
        <v>0</v>
      </c>
      <c r="Q2344" t="b">
        <v>0</v>
      </c>
      <c r="R2344" t="str">
        <f>"9781607419624"</f>
        <v>9781607419624</v>
      </c>
      <c r="S2344" t="str">
        <f>"9781617285684"</f>
        <v>9781617285684</v>
      </c>
      <c r="T2344">
        <v>662453019</v>
      </c>
    </row>
    <row r="2345" spans="1:20" x14ac:dyDescent="0.25">
      <c r="A2345">
        <v>333690</v>
      </c>
      <c r="B2345" t="s">
        <v>11514</v>
      </c>
      <c r="D2345" t="s">
        <v>2269</v>
      </c>
      <c r="E2345" t="s">
        <v>2269</v>
      </c>
      <c r="F2345">
        <v>2009</v>
      </c>
      <c r="G2345" t="s">
        <v>11258</v>
      </c>
      <c r="H2345" t="s">
        <v>11515</v>
      </c>
      <c r="I2345" t="s">
        <v>11516</v>
      </c>
      <c r="J2345" t="s">
        <v>26</v>
      </c>
      <c r="K2345" t="s">
        <v>27</v>
      </c>
      <c r="L2345" t="b">
        <v>1</v>
      </c>
      <c r="M2345" t="s">
        <v>11517</v>
      </c>
      <c r="N2345" t="str">
        <f>"621.31901/5115"</f>
        <v>621.31901/5115</v>
      </c>
      <c r="O2345" t="s">
        <v>11224</v>
      </c>
      <c r="P2345" t="b">
        <v>0</v>
      </c>
      <c r="Q2345" t="b">
        <v>0</v>
      </c>
      <c r="R2345" t="str">
        <f>"9781607413646"</f>
        <v>9781607413646</v>
      </c>
      <c r="S2345" t="str">
        <f>"9781617285660"</f>
        <v>9781617285660</v>
      </c>
      <c r="T2345">
        <v>662453172</v>
      </c>
    </row>
    <row r="2346" spans="1:20" x14ac:dyDescent="0.25">
      <c r="A2346">
        <v>333689</v>
      </c>
      <c r="B2346" t="s">
        <v>11518</v>
      </c>
      <c r="C2346" t="s">
        <v>11519</v>
      </c>
      <c r="D2346" t="s">
        <v>2269</v>
      </c>
      <c r="E2346" t="s">
        <v>2269</v>
      </c>
      <c r="F2346">
        <v>2009</v>
      </c>
      <c r="G2346" t="s">
        <v>303</v>
      </c>
      <c r="H2346" t="s">
        <v>11520</v>
      </c>
      <c r="I2346" t="s">
        <v>11521</v>
      </c>
      <c r="J2346" t="s">
        <v>26</v>
      </c>
      <c r="K2346" t="s">
        <v>27</v>
      </c>
      <c r="L2346" t="b">
        <v>1</v>
      </c>
      <c r="M2346" t="s">
        <v>11396</v>
      </c>
      <c r="N2346" t="str">
        <f>"668.4/11"</f>
        <v>668.4/11</v>
      </c>
      <c r="O2346" t="s">
        <v>10849</v>
      </c>
      <c r="P2346" t="b">
        <v>0</v>
      </c>
      <c r="Q2346" t="b">
        <v>0</v>
      </c>
      <c r="R2346" t="str">
        <f>"9781608761258"</f>
        <v>9781608761258</v>
      </c>
      <c r="S2346" t="str">
        <f>"9781617285646"</f>
        <v>9781617285646</v>
      </c>
      <c r="T2346">
        <v>662453036</v>
      </c>
    </row>
    <row r="2347" spans="1:20" x14ac:dyDescent="0.25">
      <c r="A2347">
        <v>333688</v>
      </c>
      <c r="B2347" t="s">
        <v>11522</v>
      </c>
      <c r="D2347" t="s">
        <v>2269</v>
      </c>
      <c r="E2347" t="s">
        <v>2269</v>
      </c>
      <c r="F2347">
        <v>2009</v>
      </c>
      <c r="G2347" t="s">
        <v>11258</v>
      </c>
      <c r="H2347" t="s">
        <v>11523</v>
      </c>
      <c r="I2347" t="s">
        <v>11524</v>
      </c>
      <c r="J2347" t="s">
        <v>26</v>
      </c>
      <c r="K2347" t="s">
        <v>27</v>
      </c>
      <c r="L2347" t="b">
        <v>1</v>
      </c>
      <c r="M2347" t="s">
        <v>11525</v>
      </c>
      <c r="N2347" t="str">
        <f>"621.31/2429"</f>
        <v>621.31/2429</v>
      </c>
      <c r="P2347" t="b">
        <v>0</v>
      </c>
      <c r="Q2347" t="b">
        <v>0</v>
      </c>
      <c r="R2347" t="str">
        <f>"9781606927731"</f>
        <v>9781606927731</v>
      </c>
      <c r="S2347" t="str">
        <f>"9781617285639"</f>
        <v>9781617285639</v>
      </c>
      <c r="T2347">
        <v>662453108</v>
      </c>
    </row>
    <row r="2348" spans="1:20" x14ac:dyDescent="0.25">
      <c r="A2348">
        <v>333686</v>
      </c>
      <c r="B2348" t="s">
        <v>11526</v>
      </c>
      <c r="D2348" t="s">
        <v>2269</v>
      </c>
      <c r="E2348" t="s">
        <v>2269</v>
      </c>
      <c r="F2348">
        <v>2009</v>
      </c>
      <c r="G2348" t="s">
        <v>6872</v>
      </c>
      <c r="H2348" t="s">
        <v>11527</v>
      </c>
      <c r="I2348" t="s">
        <v>11528</v>
      </c>
      <c r="J2348" t="s">
        <v>26</v>
      </c>
      <c r="K2348" t="s">
        <v>27</v>
      </c>
      <c r="L2348" t="b">
        <v>1</v>
      </c>
      <c r="M2348" t="s">
        <v>11529</v>
      </c>
      <c r="N2348" t="str">
        <f>"530.4/4"</f>
        <v>530.4/4</v>
      </c>
      <c r="P2348" t="b">
        <v>0</v>
      </c>
      <c r="Q2348" t="b">
        <v>0</v>
      </c>
      <c r="R2348" t="str">
        <f>"9781604561364"</f>
        <v>9781604561364</v>
      </c>
      <c r="S2348" t="str">
        <f>"9781617285622"</f>
        <v>9781617285622</v>
      </c>
      <c r="T2348">
        <v>662453127</v>
      </c>
    </row>
    <row r="2349" spans="1:20" x14ac:dyDescent="0.25">
      <c r="A2349">
        <v>333684</v>
      </c>
      <c r="B2349" t="s">
        <v>11530</v>
      </c>
      <c r="D2349" t="s">
        <v>2269</v>
      </c>
      <c r="E2349" t="s">
        <v>2269</v>
      </c>
      <c r="F2349">
        <v>2009</v>
      </c>
      <c r="G2349" t="s">
        <v>4186</v>
      </c>
      <c r="H2349" t="s">
        <v>11531</v>
      </c>
      <c r="I2349" t="s">
        <v>11532</v>
      </c>
      <c r="J2349" t="s">
        <v>26</v>
      </c>
      <c r="K2349" t="s">
        <v>27</v>
      </c>
      <c r="L2349" t="b">
        <v>1</v>
      </c>
      <c r="M2349" t="s">
        <v>11533</v>
      </c>
      <c r="N2349" t="str">
        <f>"579/.1757"</f>
        <v>579/.1757</v>
      </c>
      <c r="O2349" t="s">
        <v>11534</v>
      </c>
      <c r="P2349" t="b">
        <v>0</v>
      </c>
      <c r="Q2349" t="b">
        <v>0</v>
      </c>
      <c r="R2349" t="str">
        <f>"9781608761128"</f>
        <v>9781608761128</v>
      </c>
      <c r="S2349" t="str">
        <f>"9781617285615"</f>
        <v>9781617285615</v>
      </c>
      <c r="T2349">
        <v>662452489</v>
      </c>
    </row>
    <row r="2350" spans="1:20" x14ac:dyDescent="0.25">
      <c r="A2350">
        <v>333681</v>
      </c>
      <c r="B2350" t="s">
        <v>11535</v>
      </c>
      <c r="D2350" t="s">
        <v>2269</v>
      </c>
      <c r="E2350" t="s">
        <v>2269</v>
      </c>
      <c r="F2350">
        <v>2009</v>
      </c>
      <c r="G2350" t="s">
        <v>8354</v>
      </c>
      <c r="H2350" t="s">
        <v>11536</v>
      </c>
      <c r="I2350" t="s">
        <v>11537</v>
      </c>
      <c r="J2350" t="s">
        <v>26</v>
      </c>
      <c r="K2350" t="s">
        <v>27</v>
      </c>
      <c r="L2350" t="b">
        <v>1</v>
      </c>
      <c r="M2350" t="s">
        <v>11538</v>
      </c>
      <c r="N2350" t="str">
        <f>"660.6/34"</f>
        <v>660.6/34</v>
      </c>
      <c r="O2350" t="s">
        <v>9837</v>
      </c>
      <c r="P2350" t="b">
        <v>0</v>
      </c>
      <c r="Q2350" t="b">
        <v>0</v>
      </c>
      <c r="R2350" t="str">
        <f>"9781607419778"</f>
        <v>9781607419778</v>
      </c>
      <c r="S2350" t="str">
        <f>"9781617285608"</f>
        <v>9781617285608</v>
      </c>
      <c r="T2350">
        <v>662456733</v>
      </c>
    </row>
    <row r="2351" spans="1:20" x14ac:dyDescent="0.25">
      <c r="A2351">
        <v>333680</v>
      </c>
      <c r="B2351" t="s">
        <v>11539</v>
      </c>
      <c r="D2351" t="s">
        <v>2269</v>
      </c>
      <c r="E2351" t="s">
        <v>2269</v>
      </c>
      <c r="F2351">
        <v>2009</v>
      </c>
      <c r="G2351" t="s">
        <v>9050</v>
      </c>
      <c r="H2351" t="s">
        <v>11540</v>
      </c>
      <c r="I2351" t="s">
        <v>11541</v>
      </c>
      <c r="J2351" t="s">
        <v>26</v>
      </c>
      <c r="K2351" t="s">
        <v>27</v>
      </c>
      <c r="L2351" t="b">
        <v>1</v>
      </c>
      <c r="M2351" t="s">
        <v>11542</v>
      </c>
      <c r="N2351" t="str">
        <f>"547/.7"</f>
        <v>547/.7</v>
      </c>
      <c r="O2351" t="s">
        <v>11397</v>
      </c>
      <c r="P2351" t="b">
        <v>0</v>
      </c>
      <c r="Q2351" t="b">
        <v>0</v>
      </c>
      <c r="R2351" t="str">
        <f>"9781607413448"</f>
        <v>9781607413448</v>
      </c>
      <c r="S2351" t="str">
        <f>"9781617285547"</f>
        <v>9781617285547</v>
      </c>
      <c r="T2351">
        <v>662453148</v>
      </c>
    </row>
    <row r="2352" spans="1:20" x14ac:dyDescent="0.25">
      <c r="A2352">
        <v>333679</v>
      </c>
      <c r="B2352" t="s">
        <v>11543</v>
      </c>
      <c r="D2352" t="s">
        <v>2269</v>
      </c>
      <c r="E2352" t="s">
        <v>2269</v>
      </c>
      <c r="F2352">
        <v>2009</v>
      </c>
      <c r="G2352" t="s">
        <v>11544</v>
      </c>
      <c r="H2352" t="s">
        <v>11545</v>
      </c>
      <c r="I2352" t="s">
        <v>11546</v>
      </c>
      <c r="J2352" t="s">
        <v>26</v>
      </c>
      <c r="K2352" t="s">
        <v>27</v>
      </c>
      <c r="L2352" t="b">
        <v>1</v>
      </c>
      <c r="M2352" t="s">
        <v>11547</v>
      </c>
      <c r="N2352" t="str">
        <f>"515/.724"</f>
        <v>515/.724</v>
      </c>
      <c r="O2352" t="s">
        <v>9334</v>
      </c>
      <c r="P2352" t="b">
        <v>0</v>
      </c>
      <c r="Q2352" t="b">
        <v>0</v>
      </c>
      <c r="R2352" t="str">
        <f>"9781607417767"</f>
        <v>9781607417767</v>
      </c>
      <c r="S2352" t="str">
        <f>"9781617285561"</f>
        <v>9781617285561</v>
      </c>
      <c r="T2352">
        <v>667170952</v>
      </c>
    </row>
    <row r="2353" spans="1:20" x14ac:dyDescent="0.25">
      <c r="A2353">
        <v>333678</v>
      </c>
      <c r="B2353" t="s">
        <v>11548</v>
      </c>
      <c r="D2353" t="s">
        <v>2269</v>
      </c>
      <c r="E2353" t="s">
        <v>2269</v>
      </c>
      <c r="F2353">
        <v>2009</v>
      </c>
      <c r="G2353" t="s">
        <v>11549</v>
      </c>
      <c r="H2353" t="s">
        <v>11550</v>
      </c>
      <c r="I2353" t="s">
        <v>11551</v>
      </c>
      <c r="J2353" t="s">
        <v>26</v>
      </c>
      <c r="K2353" t="s">
        <v>27</v>
      </c>
      <c r="L2353" t="b">
        <v>1</v>
      </c>
      <c r="M2353" t="s">
        <v>11552</v>
      </c>
      <c r="N2353" t="str">
        <f>"613.202/462945"</f>
        <v>613.202/462945</v>
      </c>
      <c r="O2353" t="s">
        <v>10718</v>
      </c>
      <c r="P2353" t="b">
        <v>0</v>
      </c>
      <c r="Q2353" t="b">
        <v>0</v>
      </c>
      <c r="R2353" t="str">
        <f>"9781607416418"</f>
        <v>9781607416418</v>
      </c>
      <c r="S2353" t="str">
        <f>"9781617285530"</f>
        <v>9781617285530</v>
      </c>
      <c r="T2353">
        <v>662453039</v>
      </c>
    </row>
    <row r="2354" spans="1:20" x14ac:dyDescent="0.25">
      <c r="A2354">
        <v>333677</v>
      </c>
      <c r="B2354" t="s">
        <v>11553</v>
      </c>
      <c r="D2354" t="s">
        <v>2269</v>
      </c>
      <c r="E2354" t="s">
        <v>2269</v>
      </c>
      <c r="F2354">
        <v>2009</v>
      </c>
      <c r="G2354" t="s">
        <v>349</v>
      </c>
      <c r="H2354" t="s">
        <v>11554</v>
      </c>
      <c r="I2354" t="s">
        <v>11555</v>
      </c>
      <c r="J2354" t="s">
        <v>26</v>
      </c>
      <c r="K2354" t="s">
        <v>27</v>
      </c>
      <c r="L2354" t="b">
        <v>1</v>
      </c>
      <c r="M2354" t="s">
        <v>11556</v>
      </c>
      <c r="N2354" t="str">
        <f>"620"</f>
        <v>620</v>
      </c>
      <c r="P2354" t="b">
        <v>0</v>
      </c>
      <c r="Q2354" t="b">
        <v>0</v>
      </c>
      <c r="R2354" t="str">
        <f>"9781607411666"</f>
        <v>9781607411666</v>
      </c>
      <c r="S2354" t="str">
        <f>"9781617285554"</f>
        <v>9781617285554</v>
      </c>
      <c r="T2354">
        <v>662453071</v>
      </c>
    </row>
    <row r="2355" spans="1:20" x14ac:dyDescent="0.25">
      <c r="A2355">
        <v>333676</v>
      </c>
      <c r="B2355" t="s">
        <v>11557</v>
      </c>
      <c r="D2355" t="s">
        <v>2269</v>
      </c>
      <c r="E2355" t="s">
        <v>2269</v>
      </c>
      <c r="F2355">
        <v>2009</v>
      </c>
      <c r="G2355" t="s">
        <v>11558</v>
      </c>
      <c r="H2355" t="s">
        <v>11559</v>
      </c>
      <c r="I2355" t="s">
        <v>11560</v>
      </c>
      <c r="J2355" t="s">
        <v>26</v>
      </c>
      <c r="K2355" t="s">
        <v>27</v>
      </c>
      <c r="L2355" t="b">
        <v>1</v>
      </c>
      <c r="M2355" t="s">
        <v>11561</v>
      </c>
      <c r="N2355" t="str">
        <f>"518"</f>
        <v>518</v>
      </c>
      <c r="P2355" t="b">
        <v>0</v>
      </c>
      <c r="Q2355" t="b">
        <v>0</v>
      </c>
      <c r="R2355" t="str">
        <f>"9781604567830"</f>
        <v>9781604567830</v>
      </c>
      <c r="S2355" t="str">
        <f>"9781617285523"</f>
        <v>9781617285523</v>
      </c>
      <c r="T2355">
        <v>662453090</v>
      </c>
    </row>
    <row r="2356" spans="1:20" x14ac:dyDescent="0.25">
      <c r="A2356">
        <v>333675</v>
      </c>
      <c r="B2356" t="s">
        <v>11562</v>
      </c>
      <c r="D2356" t="s">
        <v>2269</v>
      </c>
      <c r="E2356" t="s">
        <v>2269</v>
      </c>
      <c r="F2356">
        <v>2009</v>
      </c>
      <c r="G2356" t="s">
        <v>10133</v>
      </c>
      <c r="H2356" t="s">
        <v>11563</v>
      </c>
      <c r="I2356" t="s">
        <v>11564</v>
      </c>
      <c r="J2356" t="s">
        <v>26</v>
      </c>
      <c r="K2356" t="s">
        <v>27</v>
      </c>
      <c r="L2356" t="b">
        <v>1</v>
      </c>
      <c r="M2356" t="s">
        <v>11565</v>
      </c>
      <c r="N2356" t="str">
        <f>"615/.19"</f>
        <v>615/.19</v>
      </c>
      <c r="P2356" t="b">
        <v>0</v>
      </c>
      <c r="Q2356" t="b">
        <v>0</v>
      </c>
      <c r="R2356" t="str">
        <f>"9781604568103"</f>
        <v>9781604568103</v>
      </c>
      <c r="S2356" t="str">
        <f>"9781617285462"</f>
        <v>9781617285462</v>
      </c>
      <c r="T2356">
        <v>662456688</v>
      </c>
    </row>
    <row r="2357" spans="1:20" x14ac:dyDescent="0.25">
      <c r="A2357">
        <v>333674</v>
      </c>
      <c r="B2357" t="s">
        <v>11566</v>
      </c>
      <c r="D2357" t="s">
        <v>2269</v>
      </c>
      <c r="E2357" t="s">
        <v>2269</v>
      </c>
      <c r="F2357">
        <v>2009</v>
      </c>
      <c r="G2357" t="s">
        <v>540</v>
      </c>
      <c r="H2357" t="s">
        <v>11567</v>
      </c>
      <c r="I2357" t="s">
        <v>11568</v>
      </c>
      <c r="J2357" t="s">
        <v>26</v>
      </c>
      <c r="K2357" t="s">
        <v>27</v>
      </c>
      <c r="L2357" t="b">
        <v>1</v>
      </c>
      <c r="M2357" t="s">
        <v>11569</v>
      </c>
      <c r="N2357" t="str">
        <f>"628.5/3"</f>
        <v>628.5/3</v>
      </c>
      <c r="O2357" t="s">
        <v>11570</v>
      </c>
      <c r="P2357" t="b">
        <v>0</v>
      </c>
      <c r="Q2357" t="b">
        <v>0</v>
      </c>
      <c r="R2357" t="str">
        <f>"9781606922675"</f>
        <v>9781606922675</v>
      </c>
      <c r="S2357" t="str">
        <f>"9781617285516"</f>
        <v>9781617285516</v>
      </c>
      <c r="T2357">
        <v>666432699</v>
      </c>
    </row>
    <row r="2358" spans="1:20" x14ac:dyDescent="0.25">
      <c r="A2358">
        <v>333673</v>
      </c>
      <c r="B2358" t="s">
        <v>11571</v>
      </c>
      <c r="C2358" t="s">
        <v>11572</v>
      </c>
      <c r="D2358" t="s">
        <v>2269</v>
      </c>
      <c r="E2358" t="s">
        <v>2269</v>
      </c>
      <c r="F2358">
        <v>2009</v>
      </c>
      <c r="G2358" t="s">
        <v>7399</v>
      </c>
      <c r="H2358" t="s">
        <v>11573</v>
      </c>
      <c r="I2358" t="s">
        <v>11574</v>
      </c>
      <c r="J2358" t="s">
        <v>26</v>
      </c>
      <c r="K2358" t="s">
        <v>27</v>
      </c>
      <c r="L2358" t="b">
        <v>1</v>
      </c>
      <c r="M2358" t="s">
        <v>11575</v>
      </c>
      <c r="N2358" t="str">
        <f>"618.97/683"</f>
        <v>618.97/683</v>
      </c>
      <c r="O2358" t="s">
        <v>11576</v>
      </c>
      <c r="P2358" t="b">
        <v>0</v>
      </c>
      <c r="Q2358" t="b">
        <v>0</v>
      </c>
      <c r="R2358" t="str">
        <f>"9781607419761"</f>
        <v>9781607419761</v>
      </c>
      <c r="S2358" t="str">
        <f>"9781617285479"</f>
        <v>9781617285479</v>
      </c>
      <c r="T2358">
        <v>662452539</v>
      </c>
    </row>
    <row r="2359" spans="1:20" x14ac:dyDescent="0.25">
      <c r="A2359">
        <v>333671</v>
      </c>
      <c r="B2359" t="s">
        <v>11577</v>
      </c>
      <c r="D2359" t="s">
        <v>2269</v>
      </c>
      <c r="E2359" t="s">
        <v>2269</v>
      </c>
      <c r="F2359">
        <v>2009</v>
      </c>
      <c r="G2359" t="s">
        <v>2116</v>
      </c>
      <c r="H2359" t="s">
        <v>11578</v>
      </c>
      <c r="I2359" t="s">
        <v>11579</v>
      </c>
      <c r="J2359" t="s">
        <v>26</v>
      </c>
      <c r="K2359" t="s">
        <v>27</v>
      </c>
      <c r="L2359" t="b">
        <v>1</v>
      </c>
      <c r="M2359" t="s">
        <v>11580</v>
      </c>
      <c r="N2359" t="str">
        <f>"571.2"</f>
        <v>571.2</v>
      </c>
      <c r="O2359" t="s">
        <v>11581</v>
      </c>
      <c r="P2359" t="b">
        <v>0</v>
      </c>
      <c r="Q2359" t="b">
        <v>0</v>
      </c>
      <c r="R2359" t="str">
        <f>"9781607411024"</f>
        <v>9781607411024</v>
      </c>
      <c r="S2359" t="str">
        <f>"9781617285486"</f>
        <v>9781617285486</v>
      </c>
      <c r="T2359">
        <v>665731630</v>
      </c>
    </row>
    <row r="2360" spans="1:20" x14ac:dyDescent="0.25">
      <c r="A2360">
        <v>333670</v>
      </c>
      <c r="B2360" t="s">
        <v>11582</v>
      </c>
      <c r="C2360" t="s">
        <v>11583</v>
      </c>
      <c r="D2360" t="s">
        <v>2269</v>
      </c>
      <c r="E2360" t="s">
        <v>2269</v>
      </c>
      <c r="F2360">
        <v>2009</v>
      </c>
      <c r="G2360" t="s">
        <v>7627</v>
      </c>
      <c r="H2360" t="s">
        <v>11584</v>
      </c>
      <c r="I2360" t="s">
        <v>11585</v>
      </c>
      <c r="J2360" t="s">
        <v>26</v>
      </c>
      <c r="K2360" t="s">
        <v>27</v>
      </c>
      <c r="L2360" t="b">
        <v>1</v>
      </c>
      <c r="M2360" t="s">
        <v>11586</v>
      </c>
      <c r="N2360" t="str">
        <f>"612.8/042"</f>
        <v>612.8/042</v>
      </c>
      <c r="O2360" t="s">
        <v>9232</v>
      </c>
      <c r="P2360" t="b">
        <v>0</v>
      </c>
      <c r="Q2360" t="b">
        <v>0</v>
      </c>
      <c r="R2360" t="str">
        <f>"9781607418313"</f>
        <v>9781607418313</v>
      </c>
      <c r="S2360" t="str">
        <f>"9781617285455"</f>
        <v>9781617285455</v>
      </c>
      <c r="T2360">
        <v>662458554</v>
      </c>
    </row>
    <row r="2361" spans="1:20" x14ac:dyDescent="0.25">
      <c r="A2361">
        <v>333669</v>
      </c>
      <c r="B2361" t="s">
        <v>11587</v>
      </c>
      <c r="C2361" t="s">
        <v>11588</v>
      </c>
      <c r="D2361" t="s">
        <v>2269</v>
      </c>
      <c r="E2361" t="s">
        <v>2269</v>
      </c>
      <c r="F2361">
        <v>2009</v>
      </c>
      <c r="G2361" t="s">
        <v>8669</v>
      </c>
      <c r="H2361" t="s">
        <v>11589</v>
      </c>
      <c r="I2361" t="s">
        <v>11590</v>
      </c>
      <c r="J2361" t="s">
        <v>26</v>
      </c>
      <c r="K2361" t="s">
        <v>27</v>
      </c>
      <c r="L2361" t="b">
        <v>1</v>
      </c>
      <c r="M2361" t="s">
        <v>11591</v>
      </c>
      <c r="N2361" t="str">
        <f>"616.99/418"</f>
        <v>616.99/418</v>
      </c>
      <c r="O2361" t="s">
        <v>10267</v>
      </c>
      <c r="P2361" t="b">
        <v>0</v>
      </c>
      <c r="Q2361" t="b">
        <v>0</v>
      </c>
      <c r="R2361" t="str">
        <f>"9781608761081"</f>
        <v>9781608761081</v>
      </c>
      <c r="S2361" t="str">
        <f>"9781617285424"</f>
        <v>9781617285424</v>
      </c>
      <c r="T2361">
        <v>662453028</v>
      </c>
    </row>
    <row r="2362" spans="1:20" x14ac:dyDescent="0.25">
      <c r="A2362">
        <v>333667</v>
      </c>
      <c r="B2362" t="s">
        <v>11592</v>
      </c>
      <c r="D2362" t="s">
        <v>2269</v>
      </c>
      <c r="E2362" t="s">
        <v>2269</v>
      </c>
      <c r="F2362">
        <v>2009</v>
      </c>
      <c r="G2362" t="s">
        <v>11593</v>
      </c>
      <c r="H2362" t="s">
        <v>11594</v>
      </c>
      <c r="I2362" t="s">
        <v>11595</v>
      </c>
      <c r="J2362" t="s">
        <v>26</v>
      </c>
      <c r="K2362" t="s">
        <v>27</v>
      </c>
      <c r="L2362" t="b">
        <v>1</v>
      </c>
      <c r="M2362" t="s">
        <v>11596</v>
      </c>
      <c r="N2362" t="str">
        <f>"610.28"</f>
        <v>610.28</v>
      </c>
      <c r="O2362" t="s">
        <v>10849</v>
      </c>
      <c r="P2362" t="b">
        <v>0</v>
      </c>
      <c r="Q2362" t="b">
        <v>0</v>
      </c>
      <c r="R2362" t="str">
        <f>"9781607417064"</f>
        <v>9781607417064</v>
      </c>
      <c r="S2362" t="str">
        <f>"9781617285431"</f>
        <v>9781617285431</v>
      </c>
      <c r="T2362">
        <v>662452579</v>
      </c>
    </row>
    <row r="2363" spans="1:20" x14ac:dyDescent="0.25">
      <c r="A2363">
        <v>333665</v>
      </c>
      <c r="B2363" t="s">
        <v>11597</v>
      </c>
      <c r="D2363" t="s">
        <v>2269</v>
      </c>
      <c r="E2363" t="s">
        <v>2269</v>
      </c>
      <c r="F2363">
        <v>2009</v>
      </c>
      <c r="G2363" t="s">
        <v>11544</v>
      </c>
      <c r="H2363" t="s">
        <v>11598</v>
      </c>
      <c r="I2363" t="s">
        <v>11599</v>
      </c>
      <c r="J2363" t="s">
        <v>26</v>
      </c>
      <c r="K2363" t="s">
        <v>27</v>
      </c>
      <c r="L2363" t="b">
        <v>1</v>
      </c>
      <c r="M2363" t="s">
        <v>11600</v>
      </c>
      <c r="N2363" t="str">
        <f>"515/.723"</f>
        <v>515/.723</v>
      </c>
      <c r="P2363" t="b">
        <v>0</v>
      </c>
      <c r="Q2363" t="b">
        <v>0</v>
      </c>
      <c r="R2363" t="str">
        <f>"9781606928868"</f>
        <v>9781606928868</v>
      </c>
      <c r="S2363" t="str">
        <f>"9781617285363"</f>
        <v>9781617285363</v>
      </c>
      <c r="T2363">
        <v>662453238</v>
      </c>
    </row>
    <row r="2364" spans="1:20" x14ac:dyDescent="0.25">
      <c r="A2364">
        <v>333664</v>
      </c>
      <c r="B2364" t="s">
        <v>11601</v>
      </c>
      <c r="D2364" t="s">
        <v>2269</v>
      </c>
      <c r="E2364" t="s">
        <v>2269</v>
      </c>
      <c r="F2364">
        <v>2009</v>
      </c>
      <c r="G2364" t="s">
        <v>11549</v>
      </c>
      <c r="H2364" t="s">
        <v>11602</v>
      </c>
      <c r="I2364" t="s">
        <v>11603</v>
      </c>
      <c r="J2364" t="s">
        <v>26</v>
      </c>
      <c r="K2364" t="s">
        <v>27</v>
      </c>
      <c r="L2364" t="b">
        <v>1</v>
      </c>
      <c r="M2364" t="s">
        <v>11604</v>
      </c>
      <c r="N2364" t="str">
        <f>"613.2/6"</f>
        <v>613.2/6</v>
      </c>
      <c r="O2364" t="s">
        <v>10958</v>
      </c>
      <c r="P2364" t="b">
        <v>0</v>
      </c>
      <c r="Q2364" t="b">
        <v>0</v>
      </c>
      <c r="R2364" t="str">
        <f>"9781607414599"</f>
        <v>9781607414599</v>
      </c>
      <c r="S2364" t="str">
        <f>"9781617285400"</f>
        <v>9781617285400</v>
      </c>
      <c r="T2364">
        <v>662460120</v>
      </c>
    </row>
    <row r="2365" spans="1:20" x14ac:dyDescent="0.25">
      <c r="A2365">
        <v>333663</v>
      </c>
      <c r="B2365" t="s">
        <v>11605</v>
      </c>
      <c r="C2365" t="s">
        <v>10764</v>
      </c>
      <c r="D2365" t="s">
        <v>2269</v>
      </c>
      <c r="E2365" t="s">
        <v>2269</v>
      </c>
      <c r="F2365">
        <v>2009</v>
      </c>
      <c r="G2365" t="s">
        <v>9553</v>
      </c>
      <c r="H2365" t="s">
        <v>11606</v>
      </c>
      <c r="I2365" t="s">
        <v>11607</v>
      </c>
      <c r="J2365" t="s">
        <v>26</v>
      </c>
      <c r="K2365" t="s">
        <v>27</v>
      </c>
      <c r="L2365" t="b">
        <v>1</v>
      </c>
      <c r="M2365" t="s">
        <v>11608</v>
      </c>
      <c r="N2365" t="str">
        <f>"620.1/16"</f>
        <v>620.1/16</v>
      </c>
      <c r="O2365" t="s">
        <v>7355</v>
      </c>
      <c r="P2365" t="b">
        <v>0</v>
      </c>
      <c r="Q2365" t="b">
        <v>0</v>
      </c>
      <c r="R2365" t="str">
        <f>"9781607410515"</f>
        <v>9781607410515</v>
      </c>
      <c r="S2365" t="str">
        <f>"9781617285394"</f>
        <v>9781617285394</v>
      </c>
      <c r="T2365">
        <v>662460163</v>
      </c>
    </row>
    <row r="2366" spans="1:20" x14ac:dyDescent="0.25">
      <c r="A2366">
        <v>333662</v>
      </c>
      <c r="B2366" t="s">
        <v>11609</v>
      </c>
      <c r="C2366" t="s">
        <v>11610</v>
      </c>
      <c r="D2366" t="s">
        <v>2269</v>
      </c>
      <c r="E2366" t="s">
        <v>2269</v>
      </c>
      <c r="F2366">
        <v>2009</v>
      </c>
      <c r="G2366" t="s">
        <v>11611</v>
      </c>
      <c r="H2366" t="s">
        <v>11612</v>
      </c>
      <c r="I2366" t="s">
        <v>11613</v>
      </c>
      <c r="J2366" t="s">
        <v>26</v>
      </c>
      <c r="K2366" t="s">
        <v>27</v>
      </c>
      <c r="L2366" t="b">
        <v>1</v>
      </c>
      <c r="M2366" t="s">
        <v>11614</v>
      </c>
      <c r="N2366" t="str">
        <f>"610.82/098161"</f>
        <v>610.82/098161</v>
      </c>
      <c r="P2366" t="b">
        <v>0</v>
      </c>
      <c r="Q2366" t="b">
        <v>0</v>
      </c>
      <c r="R2366" t="str">
        <f>"9781606928844"</f>
        <v>9781606928844</v>
      </c>
      <c r="S2366" t="str">
        <f>"9781617285370"</f>
        <v>9781617285370</v>
      </c>
      <c r="T2366">
        <v>662456582</v>
      </c>
    </row>
    <row r="2367" spans="1:20" x14ac:dyDescent="0.25">
      <c r="A2367">
        <v>333661</v>
      </c>
      <c r="B2367" t="s">
        <v>11615</v>
      </c>
      <c r="C2367" t="s">
        <v>11616</v>
      </c>
      <c r="D2367" t="s">
        <v>2269</v>
      </c>
      <c r="E2367" t="s">
        <v>2269</v>
      </c>
      <c r="F2367">
        <v>2009</v>
      </c>
      <c r="G2367" t="s">
        <v>11617</v>
      </c>
      <c r="H2367" t="s">
        <v>11618</v>
      </c>
      <c r="I2367" t="s">
        <v>11619</v>
      </c>
      <c r="J2367" t="s">
        <v>26</v>
      </c>
      <c r="K2367" t="s">
        <v>27</v>
      </c>
      <c r="L2367" t="b">
        <v>1</v>
      </c>
      <c r="M2367" t="s">
        <v>11620</v>
      </c>
      <c r="N2367" t="str">
        <f>"368.4/2600973"</f>
        <v>368.4/2600973</v>
      </c>
      <c r="O2367" t="s">
        <v>10693</v>
      </c>
      <c r="P2367" t="b">
        <v>0</v>
      </c>
      <c r="Q2367" t="b">
        <v>0</v>
      </c>
      <c r="R2367" t="str">
        <f>"9781607411086"</f>
        <v>9781607411086</v>
      </c>
      <c r="S2367" t="str">
        <f>"9781617285387"</f>
        <v>9781617285387</v>
      </c>
      <c r="T2367">
        <v>662453231</v>
      </c>
    </row>
    <row r="2368" spans="1:20" x14ac:dyDescent="0.25">
      <c r="A2368">
        <v>333658</v>
      </c>
      <c r="B2368" t="s">
        <v>11621</v>
      </c>
      <c r="C2368" t="s">
        <v>11622</v>
      </c>
      <c r="D2368" t="s">
        <v>2269</v>
      </c>
      <c r="E2368" t="s">
        <v>2269</v>
      </c>
      <c r="F2368">
        <v>2009</v>
      </c>
      <c r="G2368" t="s">
        <v>9212</v>
      </c>
      <c r="H2368" t="s">
        <v>11623</v>
      </c>
      <c r="I2368" t="s">
        <v>11624</v>
      </c>
      <c r="J2368" t="s">
        <v>26</v>
      </c>
      <c r="K2368" t="s">
        <v>27</v>
      </c>
      <c r="L2368" t="b">
        <v>1</v>
      </c>
      <c r="M2368" t="s">
        <v>11625</v>
      </c>
      <c r="N2368" t="str">
        <f>"612.3/924"</f>
        <v>612.3/924</v>
      </c>
      <c r="O2368" t="s">
        <v>11626</v>
      </c>
      <c r="P2368" t="b">
        <v>0</v>
      </c>
      <c r="Q2368" t="b">
        <v>0</v>
      </c>
      <c r="R2368" t="str">
        <f>"9781607417040"</f>
        <v>9781607417040</v>
      </c>
      <c r="S2368" t="str">
        <f>"9781617285332"</f>
        <v>9781617285332</v>
      </c>
      <c r="T2368">
        <v>662452511</v>
      </c>
    </row>
    <row r="2369" spans="1:20" x14ac:dyDescent="0.25">
      <c r="A2369">
        <v>333656</v>
      </c>
      <c r="B2369" t="s">
        <v>11627</v>
      </c>
      <c r="C2369" t="s">
        <v>11628</v>
      </c>
      <c r="D2369" t="s">
        <v>2269</v>
      </c>
      <c r="E2369" t="s">
        <v>2269</v>
      </c>
      <c r="F2369">
        <v>2009</v>
      </c>
      <c r="G2369" t="s">
        <v>7255</v>
      </c>
      <c r="H2369" t="s">
        <v>11629</v>
      </c>
      <c r="I2369" t="s">
        <v>11630</v>
      </c>
      <c r="J2369" t="s">
        <v>26</v>
      </c>
      <c r="K2369" t="s">
        <v>27</v>
      </c>
      <c r="L2369" t="b">
        <v>1</v>
      </c>
      <c r="M2369" t="s">
        <v>11631</v>
      </c>
      <c r="N2369" t="str">
        <f>"551.56/320913"</f>
        <v>551.56/320913</v>
      </c>
      <c r="O2369" t="s">
        <v>10944</v>
      </c>
      <c r="P2369" t="b">
        <v>0</v>
      </c>
      <c r="Q2369" t="b">
        <v>0</v>
      </c>
      <c r="R2369" t="str">
        <f>"9781607417644"</f>
        <v>9781607417644</v>
      </c>
      <c r="S2369" t="str">
        <f>"9781617285318"</f>
        <v>9781617285318</v>
      </c>
      <c r="T2369">
        <v>662453026</v>
      </c>
    </row>
    <row r="2370" spans="1:20" x14ac:dyDescent="0.25">
      <c r="A2370">
        <v>333652</v>
      </c>
      <c r="B2370" t="s">
        <v>11632</v>
      </c>
      <c r="D2370" t="s">
        <v>2269</v>
      </c>
      <c r="E2370" t="s">
        <v>2269</v>
      </c>
      <c r="F2370">
        <v>2009</v>
      </c>
      <c r="G2370" t="s">
        <v>11258</v>
      </c>
      <c r="H2370" t="s">
        <v>11633</v>
      </c>
      <c r="I2370" t="s">
        <v>11634</v>
      </c>
      <c r="J2370" t="s">
        <v>26</v>
      </c>
      <c r="K2370" t="s">
        <v>27</v>
      </c>
      <c r="L2370" t="b">
        <v>1</v>
      </c>
      <c r="M2370" t="s">
        <v>11635</v>
      </c>
      <c r="N2370" t="str">
        <f>"621.31/21"</f>
        <v>621.31/21</v>
      </c>
      <c r="O2370" t="s">
        <v>11224</v>
      </c>
      <c r="P2370" t="b">
        <v>0</v>
      </c>
      <c r="Q2370" t="b">
        <v>0</v>
      </c>
      <c r="R2370" t="str">
        <f>"9781608764723"</f>
        <v>9781608764723</v>
      </c>
      <c r="S2370" t="str">
        <f>"9781617285257"</f>
        <v>9781617285257</v>
      </c>
      <c r="T2370">
        <v>662453022</v>
      </c>
    </row>
    <row r="2371" spans="1:20" x14ac:dyDescent="0.25">
      <c r="A2371">
        <v>333651</v>
      </c>
      <c r="B2371" t="s">
        <v>11636</v>
      </c>
      <c r="D2371" t="s">
        <v>2269</v>
      </c>
      <c r="E2371" t="s">
        <v>2269</v>
      </c>
      <c r="F2371">
        <v>2009</v>
      </c>
      <c r="G2371" t="s">
        <v>8293</v>
      </c>
      <c r="H2371" t="s">
        <v>11637</v>
      </c>
      <c r="I2371" t="s">
        <v>11638</v>
      </c>
      <c r="J2371" t="s">
        <v>26</v>
      </c>
      <c r="K2371" t="s">
        <v>27</v>
      </c>
      <c r="L2371" t="b">
        <v>1</v>
      </c>
      <c r="M2371" t="s">
        <v>11639</v>
      </c>
      <c r="N2371" t="str">
        <f>"363.6/1095667"</f>
        <v>363.6/1095667</v>
      </c>
      <c r="O2371" t="s">
        <v>11640</v>
      </c>
      <c r="P2371" t="b">
        <v>0</v>
      </c>
      <c r="Q2371" t="b">
        <v>0</v>
      </c>
      <c r="R2371" t="str">
        <f>"9781607412953"</f>
        <v>9781607412953</v>
      </c>
      <c r="S2371" t="str">
        <f>"9781617285240"</f>
        <v>9781617285240</v>
      </c>
      <c r="T2371">
        <v>666432797</v>
      </c>
    </row>
    <row r="2372" spans="1:20" x14ac:dyDescent="0.25">
      <c r="A2372">
        <v>333647</v>
      </c>
      <c r="B2372" t="s">
        <v>11641</v>
      </c>
      <c r="C2372" t="s">
        <v>11642</v>
      </c>
      <c r="D2372" t="s">
        <v>2269</v>
      </c>
      <c r="E2372" t="s">
        <v>2269</v>
      </c>
      <c r="F2372">
        <v>2009</v>
      </c>
      <c r="G2372" t="s">
        <v>8721</v>
      </c>
      <c r="H2372" t="s">
        <v>11643</v>
      </c>
      <c r="I2372" t="s">
        <v>11644</v>
      </c>
      <c r="J2372" t="s">
        <v>26</v>
      </c>
      <c r="K2372" t="s">
        <v>27</v>
      </c>
      <c r="L2372" t="b">
        <v>1</v>
      </c>
      <c r="M2372" t="s">
        <v>11645</v>
      </c>
      <c r="N2372" t="str">
        <f>"616.85/84"</f>
        <v>616.85/84</v>
      </c>
      <c r="O2372" t="s">
        <v>11646</v>
      </c>
      <c r="P2372" t="b">
        <v>0</v>
      </c>
      <c r="Q2372" t="b">
        <v>0</v>
      </c>
      <c r="R2372" t="str">
        <f>"9781607419518"</f>
        <v>9781607419518</v>
      </c>
      <c r="S2372" t="str">
        <f>"9781617285202"</f>
        <v>9781617285202</v>
      </c>
      <c r="T2372">
        <v>662453142</v>
      </c>
    </row>
    <row r="2373" spans="1:20" x14ac:dyDescent="0.25">
      <c r="A2373">
        <v>333646</v>
      </c>
      <c r="B2373" t="s">
        <v>11647</v>
      </c>
      <c r="C2373" t="s">
        <v>11648</v>
      </c>
      <c r="D2373" t="s">
        <v>2269</v>
      </c>
      <c r="E2373" t="s">
        <v>2269</v>
      </c>
      <c r="F2373">
        <v>2009</v>
      </c>
      <c r="G2373" t="s">
        <v>349</v>
      </c>
      <c r="H2373" t="s">
        <v>11649</v>
      </c>
      <c r="I2373" t="s">
        <v>11650</v>
      </c>
      <c r="J2373" t="s">
        <v>26</v>
      </c>
      <c r="K2373" t="s">
        <v>27</v>
      </c>
      <c r="L2373" t="b">
        <v>1</v>
      </c>
      <c r="M2373" t="s">
        <v>11651</v>
      </c>
      <c r="N2373" t="str">
        <f>"620.8"</f>
        <v>620.8</v>
      </c>
      <c r="P2373" t="b">
        <v>0</v>
      </c>
      <c r="Q2373" t="b">
        <v>0</v>
      </c>
      <c r="R2373" t="str">
        <f>"9781607413752"</f>
        <v>9781607413752</v>
      </c>
      <c r="S2373" t="str">
        <f>"9781617285219"</f>
        <v>9781617285219</v>
      </c>
      <c r="T2373">
        <v>662453009</v>
      </c>
    </row>
    <row r="2374" spans="1:20" x14ac:dyDescent="0.25">
      <c r="A2374">
        <v>333645</v>
      </c>
      <c r="B2374" t="s">
        <v>11652</v>
      </c>
      <c r="D2374" t="s">
        <v>2269</v>
      </c>
      <c r="E2374" t="s">
        <v>2269</v>
      </c>
      <c r="F2374">
        <v>2009</v>
      </c>
      <c r="G2374" t="s">
        <v>8669</v>
      </c>
      <c r="H2374" t="s">
        <v>11653</v>
      </c>
      <c r="I2374" t="s">
        <v>11654</v>
      </c>
      <c r="J2374" t="s">
        <v>26</v>
      </c>
      <c r="K2374" t="s">
        <v>27</v>
      </c>
      <c r="L2374" t="b">
        <v>1</v>
      </c>
      <c r="M2374" t="s">
        <v>11655</v>
      </c>
      <c r="N2374" t="str">
        <f>"616.99/4075"</f>
        <v>616.99/4075</v>
      </c>
      <c r="P2374" t="b">
        <v>0</v>
      </c>
      <c r="Q2374" t="b">
        <v>0</v>
      </c>
      <c r="R2374" t="str">
        <f>"9781607413820"</f>
        <v>9781607413820</v>
      </c>
      <c r="S2374" t="str">
        <f>"9781617285189"</f>
        <v>9781617285189</v>
      </c>
      <c r="T2374">
        <v>662457321</v>
      </c>
    </row>
    <row r="2375" spans="1:20" x14ac:dyDescent="0.25">
      <c r="A2375">
        <v>333642</v>
      </c>
      <c r="B2375" t="s">
        <v>11656</v>
      </c>
      <c r="C2375" t="s">
        <v>11657</v>
      </c>
      <c r="D2375" t="s">
        <v>2269</v>
      </c>
      <c r="E2375" t="s">
        <v>2269</v>
      </c>
      <c r="F2375">
        <v>2009</v>
      </c>
      <c r="G2375" t="s">
        <v>5420</v>
      </c>
      <c r="H2375" t="s">
        <v>11658</v>
      </c>
      <c r="I2375" t="s">
        <v>11659</v>
      </c>
      <c r="J2375" t="s">
        <v>26</v>
      </c>
      <c r="K2375" t="s">
        <v>27</v>
      </c>
      <c r="L2375" t="b">
        <v>1</v>
      </c>
      <c r="M2375" t="s">
        <v>11660</v>
      </c>
      <c r="N2375" t="str">
        <f>"338.4/33621"</f>
        <v>338.4/33621</v>
      </c>
      <c r="O2375" t="s">
        <v>10693</v>
      </c>
      <c r="P2375" t="b">
        <v>0</v>
      </c>
      <c r="Q2375" t="b">
        <v>0</v>
      </c>
      <c r="R2375" t="str">
        <f>"9781604569766"</f>
        <v>9781604569766</v>
      </c>
      <c r="S2375" t="str">
        <f>"9781617285165"</f>
        <v>9781617285165</v>
      </c>
      <c r="T2375">
        <v>662453213</v>
      </c>
    </row>
    <row r="2376" spans="1:20" x14ac:dyDescent="0.25">
      <c r="A2376">
        <v>333641</v>
      </c>
      <c r="B2376" t="s">
        <v>11661</v>
      </c>
      <c r="D2376" t="s">
        <v>2269</v>
      </c>
      <c r="E2376" t="s">
        <v>2269</v>
      </c>
      <c r="F2376">
        <v>2009</v>
      </c>
      <c r="G2376" t="s">
        <v>8311</v>
      </c>
      <c r="H2376" t="s">
        <v>11662</v>
      </c>
      <c r="I2376" t="s">
        <v>11663</v>
      </c>
      <c r="J2376" t="s">
        <v>26</v>
      </c>
      <c r="K2376" t="s">
        <v>27</v>
      </c>
      <c r="L2376" t="b">
        <v>1</v>
      </c>
      <c r="M2376" t="s">
        <v>11664</v>
      </c>
      <c r="N2376" t="str">
        <f>"362.10951"</f>
        <v>362.10951</v>
      </c>
      <c r="O2376" t="s">
        <v>11665</v>
      </c>
      <c r="P2376" t="b">
        <v>0</v>
      </c>
      <c r="Q2376" t="b">
        <v>0</v>
      </c>
      <c r="R2376" t="str">
        <f>"9781607416180"</f>
        <v>9781607416180</v>
      </c>
      <c r="S2376" t="str">
        <f>"9781617285172"</f>
        <v>9781617285172</v>
      </c>
      <c r="T2376">
        <v>667177515</v>
      </c>
    </row>
    <row r="2377" spans="1:20" x14ac:dyDescent="0.25">
      <c r="A2377">
        <v>333638</v>
      </c>
      <c r="B2377" t="s">
        <v>11666</v>
      </c>
      <c r="C2377" t="s">
        <v>11667</v>
      </c>
      <c r="D2377" t="s">
        <v>2269</v>
      </c>
      <c r="E2377" t="s">
        <v>2269</v>
      </c>
      <c r="F2377">
        <v>2009</v>
      </c>
      <c r="G2377" t="s">
        <v>3792</v>
      </c>
      <c r="H2377" t="s">
        <v>11668</v>
      </c>
      <c r="I2377" t="s">
        <v>11669</v>
      </c>
      <c r="J2377" t="s">
        <v>26</v>
      </c>
      <c r="K2377" t="s">
        <v>27</v>
      </c>
      <c r="L2377" t="b">
        <v>1</v>
      </c>
      <c r="M2377" t="s">
        <v>11670</v>
      </c>
      <c r="N2377" t="str">
        <f>"612.4/05"</f>
        <v>612.4/05</v>
      </c>
      <c r="O2377" t="s">
        <v>11671</v>
      </c>
      <c r="P2377" t="b">
        <v>0</v>
      </c>
      <c r="Q2377" t="b">
        <v>0</v>
      </c>
      <c r="R2377" t="str">
        <f>"9781608760237"</f>
        <v>9781608760237</v>
      </c>
      <c r="S2377" t="str">
        <f>"9781617284342"</f>
        <v>9781617284342</v>
      </c>
      <c r="T2377">
        <v>662459941</v>
      </c>
    </row>
    <row r="2378" spans="1:20" x14ac:dyDescent="0.25">
      <c r="A2378">
        <v>333637</v>
      </c>
      <c r="B2378" t="s">
        <v>11672</v>
      </c>
      <c r="C2378" t="s">
        <v>11673</v>
      </c>
      <c r="D2378" t="s">
        <v>2269</v>
      </c>
      <c r="E2378" t="s">
        <v>2269</v>
      </c>
      <c r="F2378">
        <v>2009</v>
      </c>
      <c r="G2378" t="s">
        <v>45</v>
      </c>
      <c r="H2378" t="s">
        <v>11674</v>
      </c>
      <c r="I2378" t="s">
        <v>11675</v>
      </c>
      <c r="J2378" t="s">
        <v>26</v>
      </c>
      <c r="K2378" t="s">
        <v>27</v>
      </c>
      <c r="L2378" t="b">
        <v>1</v>
      </c>
      <c r="M2378" t="s">
        <v>11676</v>
      </c>
      <c r="N2378" t="str">
        <f>"616.8/3"</f>
        <v>616.8/3</v>
      </c>
      <c r="P2378" t="b">
        <v>0</v>
      </c>
      <c r="Q2378" t="b">
        <v>0</v>
      </c>
      <c r="R2378" t="str">
        <f>"9781607418115"</f>
        <v>9781607418115</v>
      </c>
      <c r="S2378" t="str">
        <f>"9781617284335"</f>
        <v>9781617284335</v>
      </c>
      <c r="T2378">
        <v>662457286</v>
      </c>
    </row>
    <row r="2379" spans="1:20" x14ac:dyDescent="0.25">
      <c r="A2379">
        <v>333636</v>
      </c>
      <c r="B2379" t="s">
        <v>11677</v>
      </c>
      <c r="C2379" t="s">
        <v>11678</v>
      </c>
      <c r="D2379" t="s">
        <v>2269</v>
      </c>
      <c r="E2379" t="s">
        <v>2269</v>
      </c>
      <c r="F2379">
        <v>2009</v>
      </c>
      <c r="G2379" t="s">
        <v>8669</v>
      </c>
      <c r="H2379" t="s">
        <v>11679</v>
      </c>
      <c r="I2379" t="s">
        <v>11680</v>
      </c>
      <c r="J2379" t="s">
        <v>26</v>
      </c>
      <c r="K2379" t="s">
        <v>27</v>
      </c>
      <c r="L2379" t="b">
        <v>1</v>
      </c>
      <c r="M2379" t="s">
        <v>11681</v>
      </c>
      <c r="N2379" t="str">
        <f>"616.99/463071"</f>
        <v>616.99/463071</v>
      </c>
      <c r="O2379" t="s">
        <v>10267</v>
      </c>
      <c r="P2379" t="b">
        <v>0</v>
      </c>
      <c r="Q2379" t="b">
        <v>0</v>
      </c>
      <c r="R2379" t="str">
        <f>"9781607419549"</f>
        <v>9781607419549</v>
      </c>
      <c r="S2379" t="str">
        <f>"9781617284359"</f>
        <v>9781617284359</v>
      </c>
      <c r="T2379">
        <v>662453140</v>
      </c>
    </row>
    <row r="2380" spans="1:20" x14ac:dyDescent="0.25">
      <c r="A2380">
        <v>333635</v>
      </c>
      <c r="B2380" t="s">
        <v>11682</v>
      </c>
      <c r="D2380" t="s">
        <v>2269</v>
      </c>
      <c r="E2380" t="s">
        <v>2269</v>
      </c>
      <c r="F2380">
        <v>2009</v>
      </c>
      <c r="G2380" t="s">
        <v>7294</v>
      </c>
      <c r="H2380" t="s">
        <v>11683</v>
      </c>
      <c r="I2380" t="s">
        <v>11684</v>
      </c>
      <c r="J2380" t="s">
        <v>26</v>
      </c>
      <c r="K2380" t="s">
        <v>27</v>
      </c>
      <c r="L2380" t="b">
        <v>1</v>
      </c>
      <c r="M2380" t="s">
        <v>11685</v>
      </c>
      <c r="N2380" t="str">
        <f>"621.042"</f>
        <v>621.042</v>
      </c>
      <c r="O2380" t="s">
        <v>11224</v>
      </c>
      <c r="P2380" t="b">
        <v>0</v>
      </c>
      <c r="Q2380" t="b">
        <v>0</v>
      </c>
      <c r="R2380" t="str">
        <f>"9781607417156"</f>
        <v>9781607417156</v>
      </c>
      <c r="S2380" t="str">
        <f>"9781617284304"</f>
        <v>9781617284304</v>
      </c>
      <c r="T2380">
        <v>662457969</v>
      </c>
    </row>
    <row r="2381" spans="1:20" x14ac:dyDescent="0.25">
      <c r="A2381">
        <v>333634</v>
      </c>
      <c r="B2381" t="s">
        <v>11686</v>
      </c>
      <c r="D2381" t="s">
        <v>2269</v>
      </c>
      <c r="E2381" t="s">
        <v>9542</v>
      </c>
      <c r="F2381">
        <v>2009</v>
      </c>
      <c r="G2381" t="s">
        <v>11687</v>
      </c>
      <c r="H2381" t="s">
        <v>11688</v>
      </c>
      <c r="I2381" t="s">
        <v>11689</v>
      </c>
      <c r="J2381" t="s">
        <v>26</v>
      </c>
      <c r="K2381" t="s">
        <v>27</v>
      </c>
      <c r="L2381" t="b">
        <v>1</v>
      </c>
      <c r="M2381" t="s">
        <v>11690</v>
      </c>
      <c r="N2381" t="str">
        <f>"535/.470287"</f>
        <v>535/.470287</v>
      </c>
      <c r="P2381" t="b">
        <v>0</v>
      </c>
      <c r="Q2381" t="b">
        <v>0</v>
      </c>
      <c r="R2381" t="str">
        <f>"9781607410508"</f>
        <v>9781607410508</v>
      </c>
      <c r="S2381" t="str">
        <f>"9781617284328"</f>
        <v>9781617284328</v>
      </c>
      <c r="T2381">
        <v>662452512</v>
      </c>
    </row>
    <row r="2382" spans="1:20" x14ac:dyDescent="0.25">
      <c r="A2382">
        <v>333633</v>
      </c>
      <c r="B2382" t="s">
        <v>11691</v>
      </c>
      <c r="C2382" t="s">
        <v>11692</v>
      </c>
      <c r="D2382" t="s">
        <v>2269</v>
      </c>
      <c r="E2382" t="s">
        <v>2269</v>
      </c>
      <c r="F2382">
        <v>2009</v>
      </c>
      <c r="G2382" t="s">
        <v>8524</v>
      </c>
      <c r="H2382" t="s">
        <v>11693</v>
      </c>
      <c r="I2382" t="s">
        <v>11694</v>
      </c>
      <c r="J2382" t="s">
        <v>26</v>
      </c>
      <c r="K2382" t="s">
        <v>27</v>
      </c>
      <c r="L2382" t="b">
        <v>1</v>
      </c>
      <c r="M2382" t="s">
        <v>11695</v>
      </c>
      <c r="N2382" t="str">
        <f>"622/.3422"</f>
        <v>622/.3422</v>
      </c>
      <c r="P2382" t="b">
        <v>0</v>
      </c>
      <c r="Q2382" t="b">
        <v>0</v>
      </c>
      <c r="R2382" t="str">
        <f>"9781607410966"</f>
        <v>9781607410966</v>
      </c>
      <c r="S2382" t="str">
        <f>"9781617284281"</f>
        <v>9781617284281</v>
      </c>
      <c r="T2382">
        <v>662453147</v>
      </c>
    </row>
    <row r="2383" spans="1:20" x14ac:dyDescent="0.25">
      <c r="A2383">
        <v>333632</v>
      </c>
      <c r="B2383" t="s">
        <v>11696</v>
      </c>
      <c r="C2383" t="s">
        <v>11697</v>
      </c>
      <c r="D2383" t="s">
        <v>2269</v>
      </c>
      <c r="E2383" t="s">
        <v>2269</v>
      </c>
      <c r="F2383">
        <v>2009</v>
      </c>
      <c r="G2383" t="s">
        <v>8981</v>
      </c>
      <c r="H2383" t="s">
        <v>11698</v>
      </c>
      <c r="I2383" t="s">
        <v>11699</v>
      </c>
      <c r="J2383" t="s">
        <v>26</v>
      </c>
      <c r="K2383" t="s">
        <v>27</v>
      </c>
      <c r="L2383" t="b">
        <v>1</v>
      </c>
      <c r="M2383" t="s">
        <v>11700</v>
      </c>
      <c r="N2383" t="str">
        <f>"616.07/99"</f>
        <v>616.07/99</v>
      </c>
      <c r="O2383" t="s">
        <v>11701</v>
      </c>
      <c r="P2383" t="b">
        <v>0</v>
      </c>
      <c r="Q2383" t="b">
        <v>0</v>
      </c>
      <c r="R2383" t="str">
        <f>"9781607415824"</f>
        <v>9781607415824</v>
      </c>
      <c r="S2383" t="str">
        <f>"9781617284311"</f>
        <v>9781617284311</v>
      </c>
      <c r="T2383">
        <v>666432841</v>
      </c>
    </row>
    <row r="2384" spans="1:20" x14ac:dyDescent="0.25">
      <c r="A2384">
        <v>333631</v>
      </c>
      <c r="B2384" t="s">
        <v>11702</v>
      </c>
      <c r="D2384" t="s">
        <v>2269</v>
      </c>
      <c r="E2384" t="s">
        <v>2269</v>
      </c>
      <c r="F2384">
        <v>2009</v>
      </c>
      <c r="G2384" t="s">
        <v>1054</v>
      </c>
      <c r="H2384" t="s">
        <v>11703</v>
      </c>
      <c r="I2384" t="s">
        <v>11704</v>
      </c>
      <c r="J2384" t="s">
        <v>26</v>
      </c>
      <c r="K2384" t="s">
        <v>27</v>
      </c>
      <c r="L2384" t="b">
        <v>1</v>
      </c>
      <c r="M2384" t="s">
        <v>11705</v>
      </c>
      <c r="N2384" t="str">
        <f>"616.1"</f>
        <v>616.1</v>
      </c>
      <c r="O2384" t="s">
        <v>11706</v>
      </c>
      <c r="P2384" t="b">
        <v>0</v>
      </c>
      <c r="Q2384" t="b">
        <v>0</v>
      </c>
      <c r="R2384" t="str">
        <f>"9781607417927"</f>
        <v>9781607417927</v>
      </c>
      <c r="S2384" t="str">
        <f>"9781617284298"</f>
        <v>9781617284298</v>
      </c>
      <c r="T2384">
        <v>662452461</v>
      </c>
    </row>
    <row r="2385" spans="1:20" x14ac:dyDescent="0.25">
      <c r="A2385">
        <v>333630</v>
      </c>
      <c r="B2385" t="s">
        <v>11707</v>
      </c>
      <c r="C2385" t="s">
        <v>11708</v>
      </c>
      <c r="D2385" t="s">
        <v>2269</v>
      </c>
      <c r="E2385" t="s">
        <v>2269</v>
      </c>
      <c r="F2385">
        <v>2009</v>
      </c>
      <c r="G2385" t="s">
        <v>11326</v>
      </c>
      <c r="H2385" t="s">
        <v>11709</v>
      </c>
      <c r="I2385" t="s">
        <v>11710</v>
      </c>
      <c r="J2385" t="s">
        <v>26</v>
      </c>
      <c r="K2385" t="s">
        <v>27</v>
      </c>
      <c r="L2385" t="b">
        <v>1</v>
      </c>
      <c r="M2385" t="s">
        <v>11711</v>
      </c>
      <c r="N2385" t="str">
        <f>"616/.042"</f>
        <v>616/.042</v>
      </c>
      <c r="O2385" t="s">
        <v>11453</v>
      </c>
      <c r="P2385" t="b">
        <v>0</v>
      </c>
      <c r="Q2385" t="b">
        <v>0</v>
      </c>
      <c r="R2385" t="str">
        <f>"9781607417149"</f>
        <v>9781607417149</v>
      </c>
      <c r="S2385" t="str">
        <f>"9781617284267"</f>
        <v>9781617284267</v>
      </c>
      <c r="T2385">
        <v>662453242</v>
      </c>
    </row>
    <row r="2386" spans="1:20" x14ac:dyDescent="0.25">
      <c r="A2386">
        <v>333627</v>
      </c>
      <c r="B2386" t="s">
        <v>11712</v>
      </c>
      <c r="C2386" t="s">
        <v>11713</v>
      </c>
      <c r="D2386" t="s">
        <v>2269</v>
      </c>
      <c r="E2386" t="s">
        <v>2269</v>
      </c>
      <c r="F2386">
        <v>2009</v>
      </c>
      <c r="G2386" t="s">
        <v>11714</v>
      </c>
      <c r="H2386" t="s">
        <v>11715</v>
      </c>
      <c r="I2386" t="s">
        <v>11716</v>
      </c>
      <c r="J2386" t="s">
        <v>26</v>
      </c>
      <c r="K2386" t="s">
        <v>27</v>
      </c>
      <c r="L2386" t="b">
        <v>1</v>
      </c>
      <c r="M2386" t="s">
        <v>11717</v>
      </c>
      <c r="N2386" t="str">
        <f>"577.3"</f>
        <v>577.3</v>
      </c>
      <c r="O2386" t="s">
        <v>10785</v>
      </c>
      <c r="P2386" t="b">
        <v>0</v>
      </c>
      <c r="Q2386" t="b">
        <v>0</v>
      </c>
      <c r="R2386" t="str">
        <f>"9781607414575"</f>
        <v>9781607414575</v>
      </c>
      <c r="S2386" t="str">
        <f>"9781617284243"</f>
        <v>9781617284243</v>
      </c>
      <c r="T2386">
        <v>662453326</v>
      </c>
    </row>
    <row r="2387" spans="1:20" x14ac:dyDescent="0.25">
      <c r="A2387">
        <v>333626</v>
      </c>
      <c r="B2387" t="s">
        <v>11718</v>
      </c>
      <c r="C2387" t="s">
        <v>11719</v>
      </c>
      <c r="D2387" t="s">
        <v>2269</v>
      </c>
      <c r="E2387" t="s">
        <v>2269</v>
      </c>
      <c r="F2387">
        <v>2009</v>
      </c>
      <c r="G2387" t="s">
        <v>9145</v>
      </c>
      <c r="H2387" t="s">
        <v>11720</v>
      </c>
      <c r="I2387" t="s">
        <v>11721</v>
      </c>
      <c r="J2387" t="s">
        <v>26</v>
      </c>
      <c r="K2387" t="s">
        <v>27</v>
      </c>
      <c r="L2387" t="b">
        <v>1</v>
      </c>
      <c r="M2387" t="s">
        <v>11722</v>
      </c>
      <c r="N2387" t="str">
        <f>"613.2"</f>
        <v>613.2</v>
      </c>
      <c r="O2387" t="s">
        <v>10958</v>
      </c>
      <c r="P2387" t="b">
        <v>0</v>
      </c>
      <c r="Q2387" t="b">
        <v>0</v>
      </c>
      <c r="R2387" t="str">
        <f>"9781607415053"</f>
        <v>9781607415053</v>
      </c>
      <c r="S2387" t="str">
        <f>"9781617284250"</f>
        <v>9781617284250</v>
      </c>
      <c r="T2387">
        <v>662453095</v>
      </c>
    </row>
    <row r="2388" spans="1:20" x14ac:dyDescent="0.25">
      <c r="A2388">
        <v>333625</v>
      </c>
      <c r="B2388" t="s">
        <v>11723</v>
      </c>
      <c r="D2388" t="s">
        <v>2269</v>
      </c>
      <c r="E2388" t="s">
        <v>2269</v>
      </c>
      <c r="F2388">
        <v>2009</v>
      </c>
      <c r="G2388" t="s">
        <v>11724</v>
      </c>
      <c r="H2388" t="s">
        <v>11725</v>
      </c>
      <c r="I2388" t="s">
        <v>11726</v>
      </c>
      <c r="J2388" t="s">
        <v>26</v>
      </c>
      <c r="K2388" t="s">
        <v>27</v>
      </c>
      <c r="L2388" t="b">
        <v>1</v>
      </c>
      <c r="M2388" t="s">
        <v>8885</v>
      </c>
      <c r="N2388" t="str">
        <f>"613/.11"</f>
        <v>613/.11</v>
      </c>
      <c r="O2388" t="s">
        <v>11727</v>
      </c>
      <c r="P2388" t="b">
        <v>0</v>
      </c>
      <c r="Q2388" t="b">
        <v>0</v>
      </c>
      <c r="R2388" t="str">
        <f>"9781607412472"</f>
        <v>9781607412472</v>
      </c>
      <c r="S2388" t="str">
        <f>"9781617284212"</f>
        <v>9781617284212</v>
      </c>
      <c r="T2388">
        <v>662453166</v>
      </c>
    </row>
    <row r="2389" spans="1:20" x14ac:dyDescent="0.25">
      <c r="A2389">
        <v>333624</v>
      </c>
      <c r="B2389" t="s">
        <v>11728</v>
      </c>
      <c r="C2389" t="s">
        <v>11729</v>
      </c>
      <c r="D2389" t="s">
        <v>2269</v>
      </c>
      <c r="E2389" t="s">
        <v>2269</v>
      </c>
      <c r="F2389">
        <v>2009</v>
      </c>
      <c r="G2389" t="s">
        <v>5739</v>
      </c>
      <c r="H2389" t="s">
        <v>11730</v>
      </c>
      <c r="I2389" t="s">
        <v>11731</v>
      </c>
      <c r="J2389" t="s">
        <v>26</v>
      </c>
      <c r="K2389" t="s">
        <v>27</v>
      </c>
      <c r="L2389" t="b">
        <v>1</v>
      </c>
      <c r="M2389" t="s">
        <v>11732</v>
      </c>
      <c r="N2389" t="str">
        <f>"664"</f>
        <v>664</v>
      </c>
      <c r="P2389" t="b">
        <v>0</v>
      </c>
      <c r="Q2389" t="b">
        <v>0</v>
      </c>
      <c r="R2389" t="str">
        <f>"9781606924143"</f>
        <v>9781606924143</v>
      </c>
      <c r="S2389" t="str">
        <f>"9781617284229"</f>
        <v>9781617284229</v>
      </c>
      <c r="T2389">
        <v>662453230</v>
      </c>
    </row>
    <row r="2390" spans="1:20" x14ac:dyDescent="0.25">
      <c r="A2390">
        <v>333623</v>
      </c>
      <c r="B2390" t="s">
        <v>11733</v>
      </c>
      <c r="C2390" t="s">
        <v>11734</v>
      </c>
      <c r="D2390" t="s">
        <v>2269</v>
      </c>
      <c r="E2390" t="s">
        <v>2269</v>
      </c>
      <c r="F2390">
        <v>2009</v>
      </c>
      <c r="G2390" t="s">
        <v>8997</v>
      </c>
      <c r="H2390" t="s">
        <v>11735</v>
      </c>
      <c r="I2390" t="s">
        <v>11736</v>
      </c>
      <c r="J2390" t="s">
        <v>26</v>
      </c>
      <c r="K2390" t="s">
        <v>27</v>
      </c>
      <c r="L2390" t="b">
        <v>1</v>
      </c>
      <c r="M2390" t="s">
        <v>11737</v>
      </c>
      <c r="N2390" t="str">
        <f>"616.3/62"</f>
        <v>616.3/62</v>
      </c>
      <c r="O2390" t="s">
        <v>11738</v>
      </c>
      <c r="P2390" t="b">
        <v>0</v>
      </c>
      <c r="Q2390" t="b">
        <v>0</v>
      </c>
      <c r="R2390" t="str">
        <f>"9781607416920"</f>
        <v>9781607416920</v>
      </c>
      <c r="S2390" t="str">
        <f>"9781617284199"</f>
        <v>9781617284199</v>
      </c>
      <c r="T2390">
        <v>662453042</v>
      </c>
    </row>
    <row r="2391" spans="1:20" x14ac:dyDescent="0.25">
      <c r="A2391">
        <v>333621</v>
      </c>
      <c r="B2391" t="s">
        <v>11739</v>
      </c>
      <c r="C2391" t="s">
        <v>11740</v>
      </c>
      <c r="D2391" t="s">
        <v>2269</v>
      </c>
      <c r="E2391" t="s">
        <v>2269</v>
      </c>
      <c r="F2391">
        <v>2009</v>
      </c>
      <c r="G2391" t="s">
        <v>7599</v>
      </c>
      <c r="H2391" t="s">
        <v>11741</v>
      </c>
      <c r="I2391" t="s">
        <v>11742</v>
      </c>
      <c r="J2391" t="s">
        <v>26</v>
      </c>
      <c r="K2391" t="s">
        <v>27</v>
      </c>
      <c r="L2391" t="b">
        <v>1</v>
      </c>
      <c r="M2391" t="s">
        <v>11743</v>
      </c>
      <c r="N2391" t="str">
        <f>"618.92/238"</f>
        <v>618.92/238</v>
      </c>
      <c r="P2391" t="b">
        <v>0</v>
      </c>
      <c r="Q2391" t="b">
        <v>0</v>
      </c>
      <c r="R2391" t="str">
        <f>"9781606920831"</f>
        <v>9781606920831</v>
      </c>
      <c r="S2391" t="str">
        <f>"9781617284175"</f>
        <v>9781617284175</v>
      </c>
      <c r="T2391">
        <v>662459492</v>
      </c>
    </row>
    <row r="2392" spans="1:20" x14ac:dyDescent="0.25">
      <c r="A2392">
        <v>333617</v>
      </c>
      <c r="B2392" t="s">
        <v>11744</v>
      </c>
      <c r="D2392" t="s">
        <v>2269</v>
      </c>
      <c r="E2392" t="s">
        <v>9542</v>
      </c>
      <c r="F2392">
        <v>2009</v>
      </c>
      <c r="G2392" t="s">
        <v>11745</v>
      </c>
      <c r="H2392" t="s">
        <v>11746</v>
      </c>
      <c r="I2392" t="s">
        <v>11747</v>
      </c>
      <c r="J2392" t="s">
        <v>26</v>
      </c>
      <c r="K2392" t="s">
        <v>27</v>
      </c>
      <c r="L2392" t="b">
        <v>1</v>
      </c>
      <c r="M2392" t="s">
        <v>11748</v>
      </c>
      <c r="N2392" t="str">
        <f>"629.4"</f>
        <v>629.4</v>
      </c>
      <c r="O2392" t="s">
        <v>10718</v>
      </c>
      <c r="P2392" t="b">
        <v>0</v>
      </c>
      <c r="Q2392" t="b">
        <v>0</v>
      </c>
      <c r="R2392" t="str">
        <f>"9781606929841"</f>
        <v>9781606929841</v>
      </c>
      <c r="S2392" t="str">
        <f>"9781617284137"</f>
        <v>9781617284137</v>
      </c>
      <c r="T2392">
        <v>662453150</v>
      </c>
    </row>
    <row r="2393" spans="1:20" x14ac:dyDescent="0.25">
      <c r="A2393">
        <v>333614</v>
      </c>
      <c r="B2393" t="s">
        <v>11749</v>
      </c>
      <c r="D2393" t="s">
        <v>2269</v>
      </c>
      <c r="E2393" t="s">
        <v>2269</v>
      </c>
      <c r="F2393">
        <v>2009</v>
      </c>
      <c r="G2393" t="s">
        <v>400</v>
      </c>
      <c r="H2393" t="s">
        <v>11750</v>
      </c>
      <c r="I2393" t="s">
        <v>11751</v>
      </c>
      <c r="J2393" t="s">
        <v>26</v>
      </c>
      <c r="K2393" t="s">
        <v>27</v>
      </c>
      <c r="L2393" t="b">
        <v>1</v>
      </c>
      <c r="M2393" t="s">
        <v>11752</v>
      </c>
      <c r="N2393" t="str">
        <f>"628"</f>
        <v>628</v>
      </c>
      <c r="P2393" t="b">
        <v>0</v>
      </c>
      <c r="Q2393" t="b">
        <v>0</v>
      </c>
      <c r="R2393" t="str">
        <f>"9781606926673"</f>
        <v>9781606926673</v>
      </c>
      <c r="S2393" t="str">
        <f>"9781617284106"</f>
        <v>9781617284106</v>
      </c>
      <c r="T2393">
        <v>662453128</v>
      </c>
    </row>
    <row r="2394" spans="1:20" x14ac:dyDescent="0.25">
      <c r="A2394">
        <v>333612</v>
      </c>
      <c r="B2394" t="s">
        <v>11753</v>
      </c>
      <c r="D2394" t="s">
        <v>2269</v>
      </c>
      <c r="E2394" t="s">
        <v>2269</v>
      </c>
      <c r="F2394">
        <v>2009</v>
      </c>
      <c r="G2394" t="s">
        <v>540</v>
      </c>
      <c r="H2394" t="s">
        <v>11754</v>
      </c>
      <c r="I2394" t="s">
        <v>11755</v>
      </c>
      <c r="J2394" t="s">
        <v>26</v>
      </c>
      <c r="K2394" t="s">
        <v>27</v>
      </c>
      <c r="L2394" t="b">
        <v>1</v>
      </c>
      <c r="M2394" t="s">
        <v>11756</v>
      </c>
      <c r="N2394" t="str">
        <f>"363.731"</f>
        <v>363.731</v>
      </c>
      <c r="O2394" t="s">
        <v>10785</v>
      </c>
      <c r="P2394" t="b">
        <v>0</v>
      </c>
      <c r="Q2394" t="b">
        <v>0</v>
      </c>
      <c r="R2394" t="str">
        <f>"9781606929360"</f>
        <v>9781606929360</v>
      </c>
      <c r="S2394" t="str">
        <f>"9781617284083"</f>
        <v>9781617284083</v>
      </c>
      <c r="T2394">
        <v>666473928</v>
      </c>
    </row>
    <row r="2395" spans="1:20" x14ac:dyDescent="0.25">
      <c r="A2395">
        <v>333610</v>
      </c>
      <c r="B2395" t="s">
        <v>11757</v>
      </c>
      <c r="D2395" t="s">
        <v>2269</v>
      </c>
      <c r="E2395" t="s">
        <v>2269</v>
      </c>
      <c r="F2395">
        <v>2009</v>
      </c>
      <c r="G2395" t="s">
        <v>8311</v>
      </c>
      <c r="H2395" t="s">
        <v>11758</v>
      </c>
      <c r="I2395" t="s">
        <v>11759</v>
      </c>
      <c r="J2395" t="s">
        <v>26</v>
      </c>
      <c r="K2395" t="s">
        <v>27</v>
      </c>
      <c r="L2395" t="b">
        <v>1</v>
      </c>
      <c r="M2395" t="s">
        <v>11760</v>
      </c>
      <c r="N2395" t="str">
        <f>"362.1"</f>
        <v>362.1</v>
      </c>
      <c r="P2395" t="b">
        <v>0</v>
      </c>
      <c r="Q2395" t="b">
        <v>0</v>
      </c>
      <c r="R2395" t="str">
        <f>"9781607410546"</f>
        <v>9781607410546</v>
      </c>
      <c r="S2395" t="str">
        <f>"9781617284045"</f>
        <v>9781617284045</v>
      </c>
      <c r="T2395">
        <v>662453152</v>
      </c>
    </row>
    <row r="2396" spans="1:20" x14ac:dyDescent="0.25">
      <c r="A2396">
        <v>333607</v>
      </c>
      <c r="B2396" t="s">
        <v>11761</v>
      </c>
      <c r="C2396" t="s">
        <v>11762</v>
      </c>
      <c r="D2396" t="s">
        <v>2269</v>
      </c>
      <c r="E2396" t="s">
        <v>2269</v>
      </c>
      <c r="F2396">
        <v>2009</v>
      </c>
      <c r="G2396" t="s">
        <v>7294</v>
      </c>
      <c r="H2396" t="s">
        <v>11763</v>
      </c>
      <c r="I2396" t="s">
        <v>11764</v>
      </c>
      <c r="J2396" t="s">
        <v>26</v>
      </c>
      <c r="K2396" t="s">
        <v>27</v>
      </c>
      <c r="L2396" t="b">
        <v>1</v>
      </c>
      <c r="M2396" t="s">
        <v>11765</v>
      </c>
      <c r="N2396" t="str">
        <f>"621.042"</f>
        <v>621.042</v>
      </c>
      <c r="P2396" t="b">
        <v>0</v>
      </c>
      <c r="Q2396" t="b">
        <v>0</v>
      </c>
      <c r="R2396" t="str">
        <f>"9781606926802"</f>
        <v>9781606926802</v>
      </c>
      <c r="S2396" t="str">
        <f>"9781617284038"</f>
        <v>9781617284038</v>
      </c>
      <c r="T2396">
        <v>662452567</v>
      </c>
    </row>
    <row r="2397" spans="1:20" x14ac:dyDescent="0.25">
      <c r="A2397">
        <v>333606</v>
      </c>
      <c r="B2397" t="s">
        <v>11766</v>
      </c>
      <c r="D2397" t="s">
        <v>2269</v>
      </c>
      <c r="E2397" t="s">
        <v>2269</v>
      </c>
      <c r="F2397">
        <v>2009</v>
      </c>
      <c r="G2397" t="s">
        <v>6872</v>
      </c>
      <c r="H2397" t="s">
        <v>11767</v>
      </c>
      <c r="I2397" t="s">
        <v>11768</v>
      </c>
      <c r="J2397" t="s">
        <v>26</v>
      </c>
      <c r="K2397" t="s">
        <v>27</v>
      </c>
      <c r="L2397" t="b">
        <v>1</v>
      </c>
      <c r="M2397" t="s">
        <v>11769</v>
      </c>
      <c r="N2397" t="str">
        <f>"333.79"</f>
        <v>333.79</v>
      </c>
      <c r="O2397" t="s">
        <v>11224</v>
      </c>
      <c r="P2397" t="b">
        <v>0</v>
      </c>
      <c r="Q2397" t="b">
        <v>0</v>
      </c>
      <c r="R2397" t="str">
        <f>"9781607417002"</f>
        <v>9781607417002</v>
      </c>
      <c r="S2397" t="str">
        <f>"9781617284007"</f>
        <v>9781617284007</v>
      </c>
      <c r="T2397">
        <v>662453143</v>
      </c>
    </row>
    <row r="2398" spans="1:20" x14ac:dyDescent="0.25">
      <c r="A2398">
        <v>333604</v>
      </c>
      <c r="B2398" t="s">
        <v>11770</v>
      </c>
      <c r="D2398" t="s">
        <v>2269</v>
      </c>
      <c r="E2398" t="s">
        <v>2269</v>
      </c>
      <c r="F2398">
        <v>2009</v>
      </c>
      <c r="G2398" t="s">
        <v>303</v>
      </c>
      <c r="H2398" t="s">
        <v>11771</v>
      </c>
      <c r="I2398" t="s">
        <v>11772</v>
      </c>
      <c r="J2398" t="s">
        <v>26</v>
      </c>
      <c r="K2398" t="s">
        <v>27</v>
      </c>
      <c r="L2398" t="b">
        <v>1</v>
      </c>
      <c r="M2398" t="s">
        <v>11773</v>
      </c>
      <c r="N2398" t="str">
        <f>"662/.87"</f>
        <v>662/.87</v>
      </c>
      <c r="P2398" t="b">
        <v>0</v>
      </c>
      <c r="Q2398" t="b">
        <v>0</v>
      </c>
      <c r="R2398" t="str">
        <f>"9781607410652"</f>
        <v>9781607410652</v>
      </c>
      <c r="S2398" t="str">
        <f>"9781617284021"</f>
        <v>9781617284021</v>
      </c>
      <c r="T2398">
        <v>662457849</v>
      </c>
    </row>
    <row r="2399" spans="1:20" x14ac:dyDescent="0.25">
      <c r="A2399">
        <v>333603</v>
      </c>
      <c r="B2399" t="s">
        <v>11774</v>
      </c>
      <c r="C2399" t="s">
        <v>11775</v>
      </c>
      <c r="D2399" t="s">
        <v>2269</v>
      </c>
      <c r="E2399" t="s">
        <v>2269</v>
      </c>
      <c r="F2399">
        <v>2009</v>
      </c>
      <c r="G2399" t="s">
        <v>11776</v>
      </c>
      <c r="H2399" t="s">
        <v>11777</v>
      </c>
      <c r="I2399" t="s">
        <v>11778</v>
      </c>
      <c r="J2399" t="s">
        <v>26</v>
      </c>
      <c r="K2399" t="s">
        <v>27</v>
      </c>
      <c r="L2399" t="b">
        <v>1</v>
      </c>
      <c r="M2399" t="s">
        <v>11779</v>
      </c>
      <c r="N2399" t="str">
        <f>"696"</f>
        <v>696</v>
      </c>
      <c r="P2399" t="b">
        <v>0</v>
      </c>
      <c r="Q2399" t="b">
        <v>0</v>
      </c>
      <c r="R2399" t="str">
        <f>"9781607410492"</f>
        <v>9781607410492</v>
      </c>
      <c r="S2399" t="str">
        <f>"9781617283994"</f>
        <v>9781617283994</v>
      </c>
      <c r="T2399">
        <v>662452553</v>
      </c>
    </row>
    <row r="2400" spans="1:20" x14ac:dyDescent="0.25">
      <c r="A2400">
        <v>333602</v>
      </c>
      <c r="B2400" t="s">
        <v>11780</v>
      </c>
      <c r="D2400" t="s">
        <v>2269</v>
      </c>
      <c r="E2400" t="s">
        <v>2269</v>
      </c>
      <c r="F2400">
        <v>2009</v>
      </c>
      <c r="G2400" t="s">
        <v>394</v>
      </c>
      <c r="H2400" t="s">
        <v>11781</v>
      </c>
      <c r="I2400" t="s">
        <v>11782</v>
      </c>
      <c r="J2400" t="s">
        <v>26</v>
      </c>
      <c r="K2400" t="s">
        <v>27</v>
      </c>
      <c r="L2400" t="b">
        <v>1</v>
      </c>
      <c r="M2400" t="s">
        <v>11783</v>
      </c>
      <c r="N2400" t="str">
        <f>"621"</f>
        <v>621</v>
      </c>
      <c r="P2400" t="b">
        <v>0</v>
      </c>
      <c r="Q2400" t="b">
        <v>0</v>
      </c>
      <c r="R2400" t="str">
        <f>"9781606925492"</f>
        <v>9781606925492</v>
      </c>
      <c r="S2400" t="str">
        <f>"9781617284014"</f>
        <v>9781617284014</v>
      </c>
      <c r="T2400">
        <v>662453111</v>
      </c>
    </row>
    <row r="2401" spans="1:20" x14ac:dyDescent="0.25">
      <c r="A2401">
        <v>333601</v>
      </c>
      <c r="B2401" t="s">
        <v>11784</v>
      </c>
      <c r="D2401" t="s">
        <v>2269</v>
      </c>
      <c r="E2401" t="s">
        <v>9542</v>
      </c>
      <c r="F2401">
        <v>2009</v>
      </c>
      <c r="G2401" t="s">
        <v>811</v>
      </c>
      <c r="H2401" t="s">
        <v>11785</v>
      </c>
      <c r="I2401" t="s">
        <v>11786</v>
      </c>
      <c r="J2401" t="s">
        <v>26</v>
      </c>
      <c r="K2401" t="s">
        <v>27</v>
      </c>
      <c r="L2401" t="b">
        <v>1</v>
      </c>
      <c r="M2401" t="s">
        <v>11787</v>
      </c>
      <c r="N2401" t="str">
        <f>"352.9441097471"</f>
        <v>352.9441097471</v>
      </c>
      <c r="P2401" t="b">
        <v>0</v>
      </c>
      <c r="Q2401" t="b">
        <v>0</v>
      </c>
      <c r="R2401" t="str">
        <f>"9781606925102"</f>
        <v>9781606925102</v>
      </c>
      <c r="S2401" t="str">
        <f>"9781617283932"</f>
        <v>9781617283932</v>
      </c>
      <c r="T2401">
        <v>666432881</v>
      </c>
    </row>
    <row r="2402" spans="1:20" x14ac:dyDescent="0.25">
      <c r="A2402">
        <v>333600</v>
      </c>
      <c r="B2402" t="s">
        <v>11788</v>
      </c>
      <c r="D2402" t="s">
        <v>2269</v>
      </c>
      <c r="E2402" t="s">
        <v>9542</v>
      </c>
      <c r="F2402">
        <v>2009</v>
      </c>
      <c r="G2402" t="s">
        <v>9543</v>
      </c>
      <c r="H2402" t="s">
        <v>11789</v>
      </c>
      <c r="I2402" t="s">
        <v>11790</v>
      </c>
      <c r="J2402" t="s">
        <v>26</v>
      </c>
      <c r="K2402" t="s">
        <v>27</v>
      </c>
      <c r="L2402" t="b">
        <v>1</v>
      </c>
      <c r="M2402" t="s">
        <v>11791</v>
      </c>
      <c r="N2402" t="str">
        <f>"620/.503"</f>
        <v>620/.503</v>
      </c>
      <c r="P2402" t="b">
        <v>0</v>
      </c>
      <c r="Q2402" t="b">
        <v>0</v>
      </c>
      <c r="R2402" t="str">
        <f>"9781606920794"</f>
        <v>9781606920794</v>
      </c>
      <c r="S2402" t="str">
        <f>"9781617283970"</f>
        <v>9781617283970</v>
      </c>
      <c r="T2402">
        <v>666428616</v>
      </c>
    </row>
    <row r="2403" spans="1:20" x14ac:dyDescent="0.25">
      <c r="A2403">
        <v>333597</v>
      </c>
      <c r="B2403" t="s">
        <v>11792</v>
      </c>
      <c r="D2403" t="s">
        <v>2269</v>
      </c>
      <c r="E2403" t="s">
        <v>2269</v>
      </c>
      <c r="F2403">
        <v>2009</v>
      </c>
      <c r="G2403" t="s">
        <v>8991</v>
      </c>
      <c r="H2403" t="s">
        <v>11793</v>
      </c>
      <c r="I2403" t="s">
        <v>11794</v>
      </c>
      <c r="J2403" t="s">
        <v>26</v>
      </c>
      <c r="K2403" t="s">
        <v>27</v>
      </c>
      <c r="L2403" t="b">
        <v>1</v>
      </c>
      <c r="M2403" t="s">
        <v>11795</v>
      </c>
      <c r="N2403" t="str">
        <f>"362.196/90954"</f>
        <v>362.196/90954</v>
      </c>
      <c r="P2403" t="b">
        <v>0</v>
      </c>
      <c r="Q2403" t="b">
        <v>0</v>
      </c>
      <c r="R2403" t="str">
        <f>"9781607411680"</f>
        <v>9781607411680</v>
      </c>
      <c r="S2403" t="str">
        <f>"9781617283949"</f>
        <v>9781617283949</v>
      </c>
      <c r="T2403">
        <v>662453116</v>
      </c>
    </row>
    <row r="2404" spans="1:20" x14ac:dyDescent="0.25">
      <c r="A2404">
        <v>333596</v>
      </c>
      <c r="B2404" t="s">
        <v>11796</v>
      </c>
      <c r="C2404" t="s">
        <v>11797</v>
      </c>
      <c r="D2404" t="s">
        <v>2269</v>
      </c>
      <c r="E2404" t="s">
        <v>2269</v>
      </c>
      <c r="F2404">
        <v>2009</v>
      </c>
      <c r="G2404" t="s">
        <v>9543</v>
      </c>
      <c r="H2404" t="s">
        <v>11798</v>
      </c>
      <c r="I2404" t="s">
        <v>11799</v>
      </c>
      <c r="J2404" t="s">
        <v>26</v>
      </c>
      <c r="K2404" t="s">
        <v>27</v>
      </c>
      <c r="L2404" t="b">
        <v>1</v>
      </c>
      <c r="M2404" t="s">
        <v>11800</v>
      </c>
      <c r="N2404" t="str">
        <f>"620/.5"</f>
        <v>620/.5</v>
      </c>
      <c r="O2404" t="s">
        <v>10849</v>
      </c>
      <c r="P2404" t="b">
        <v>0</v>
      </c>
      <c r="Q2404" t="b">
        <v>0</v>
      </c>
      <c r="R2404" t="str">
        <f>"9781607418344"</f>
        <v>9781607418344</v>
      </c>
      <c r="S2404" t="str">
        <f>"9781617283925"</f>
        <v>9781617283925</v>
      </c>
      <c r="T2404">
        <v>662460843</v>
      </c>
    </row>
    <row r="2405" spans="1:20" x14ac:dyDescent="0.25">
      <c r="A2405">
        <v>333595</v>
      </c>
      <c r="B2405" t="s">
        <v>11801</v>
      </c>
      <c r="C2405" t="s">
        <v>11802</v>
      </c>
      <c r="D2405" t="s">
        <v>2269</v>
      </c>
      <c r="E2405" t="s">
        <v>2269</v>
      </c>
      <c r="F2405">
        <v>2009</v>
      </c>
      <c r="G2405" t="s">
        <v>11803</v>
      </c>
      <c r="H2405" t="s">
        <v>11804</v>
      </c>
      <c r="I2405" t="s">
        <v>11805</v>
      </c>
      <c r="J2405" t="s">
        <v>26</v>
      </c>
      <c r="K2405" t="s">
        <v>27</v>
      </c>
      <c r="L2405" t="b">
        <v>1</v>
      </c>
      <c r="M2405" t="s">
        <v>11806</v>
      </c>
      <c r="N2405" t="str">
        <f>"629.22/93"</f>
        <v>629.22/93</v>
      </c>
      <c r="P2405" t="b">
        <v>0</v>
      </c>
      <c r="Q2405" t="b">
        <v>0</v>
      </c>
      <c r="R2405" t="str">
        <f>"9781607411420"</f>
        <v>9781607411420</v>
      </c>
      <c r="S2405" t="str">
        <f>"9781617283901"</f>
        <v>9781617283901</v>
      </c>
      <c r="T2405">
        <v>662452561</v>
      </c>
    </row>
    <row r="2406" spans="1:20" x14ac:dyDescent="0.25">
      <c r="A2406">
        <v>333594</v>
      </c>
      <c r="B2406" t="s">
        <v>11807</v>
      </c>
      <c r="C2406" t="s">
        <v>11808</v>
      </c>
      <c r="D2406" t="s">
        <v>2269</v>
      </c>
      <c r="E2406" t="s">
        <v>2269</v>
      </c>
      <c r="F2406">
        <v>2009</v>
      </c>
      <c r="G2406" t="s">
        <v>303</v>
      </c>
      <c r="H2406" t="s">
        <v>11809</v>
      </c>
      <c r="I2406" t="s">
        <v>11810</v>
      </c>
      <c r="J2406" t="s">
        <v>26</v>
      </c>
      <c r="K2406" t="s">
        <v>27</v>
      </c>
      <c r="L2406" t="b">
        <v>1</v>
      </c>
      <c r="M2406" t="s">
        <v>11811</v>
      </c>
      <c r="N2406" t="str">
        <f>"660/.28424"</f>
        <v>660/.28424</v>
      </c>
      <c r="P2406" t="b">
        <v>0</v>
      </c>
      <c r="Q2406" t="b">
        <v>0</v>
      </c>
      <c r="R2406" t="str">
        <f>"9781607415923"</f>
        <v>9781607415923</v>
      </c>
      <c r="S2406" t="str">
        <f>"9781617283895"</f>
        <v>9781617283895</v>
      </c>
      <c r="T2406">
        <v>662453035</v>
      </c>
    </row>
    <row r="2407" spans="1:20" x14ac:dyDescent="0.25">
      <c r="A2407">
        <v>333593</v>
      </c>
      <c r="B2407" t="s">
        <v>11812</v>
      </c>
      <c r="D2407" t="s">
        <v>2269</v>
      </c>
      <c r="E2407" t="s">
        <v>2269</v>
      </c>
      <c r="F2407">
        <v>2009</v>
      </c>
      <c r="G2407" t="s">
        <v>8793</v>
      </c>
      <c r="H2407" t="s">
        <v>11813</v>
      </c>
      <c r="I2407" t="s">
        <v>11814</v>
      </c>
      <c r="J2407" t="s">
        <v>26</v>
      </c>
      <c r="K2407" t="s">
        <v>27</v>
      </c>
      <c r="L2407" t="b">
        <v>1</v>
      </c>
      <c r="M2407" t="s">
        <v>11815</v>
      </c>
      <c r="N2407" t="str">
        <f>"539.754"</f>
        <v>539.754</v>
      </c>
      <c r="P2407" t="b">
        <v>0</v>
      </c>
      <c r="Q2407" t="b">
        <v>0</v>
      </c>
      <c r="R2407" t="str">
        <f>"9781606921708"</f>
        <v>9781606921708</v>
      </c>
      <c r="S2407" t="str">
        <f>"9781617283918"</f>
        <v>9781617283918</v>
      </c>
      <c r="T2407">
        <v>667175728</v>
      </c>
    </row>
    <row r="2408" spans="1:20" x14ac:dyDescent="0.25">
      <c r="A2408">
        <v>333590</v>
      </c>
      <c r="B2408" t="s">
        <v>11816</v>
      </c>
      <c r="D2408" t="s">
        <v>2269</v>
      </c>
      <c r="E2408" t="s">
        <v>9542</v>
      </c>
      <c r="F2408">
        <v>2009</v>
      </c>
      <c r="G2408" t="s">
        <v>4788</v>
      </c>
      <c r="H2408" t="s">
        <v>11817</v>
      </c>
      <c r="I2408" t="s">
        <v>11818</v>
      </c>
      <c r="J2408" t="s">
        <v>26</v>
      </c>
      <c r="K2408" t="s">
        <v>27</v>
      </c>
      <c r="L2408" t="b">
        <v>1</v>
      </c>
      <c r="M2408" t="s">
        <v>11819</v>
      </c>
      <c r="N2408" t="str">
        <f>"519.5/5"</f>
        <v>519.5/5</v>
      </c>
      <c r="P2408" t="b">
        <v>0</v>
      </c>
      <c r="Q2408" t="b">
        <v>0</v>
      </c>
      <c r="R2408" t="str">
        <f>"9781606920626"</f>
        <v>9781606920626</v>
      </c>
      <c r="S2408" t="str">
        <f>"9781617283871"</f>
        <v>9781617283871</v>
      </c>
      <c r="T2408">
        <v>662453164</v>
      </c>
    </row>
    <row r="2409" spans="1:20" x14ac:dyDescent="0.25">
      <c r="A2409">
        <v>333585</v>
      </c>
      <c r="B2409" t="s">
        <v>11820</v>
      </c>
      <c r="D2409" t="s">
        <v>2269</v>
      </c>
      <c r="E2409" t="s">
        <v>2269</v>
      </c>
      <c r="F2409">
        <v>2009</v>
      </c>
      <c r="G2409" t="s">
        <v>11821</v>
      </c>
      <c r="H2409" t="s">
        <v>11822</v>
      </c>
      <c r="I2409" t="s">
        <v>11823</v>
      </c>
      <c r="J2409" t="s">
        <v>26</v>
      </c>
      <c r="K2409" t="s">
        <v>27</v>
      </c>
      <c r="L2409" t="b">
        <v>1</v>
      </c>
      <c r="M2409" t="s">
        <v>11824</v>
      </c>
      <c r="N2409" t="str">
        <f>"618.3/2"</f>
        <v>618.3/2</v>
      </c>
      <c r="O2409" t="s">
        <v>11825</v>
      </c>
      <c r="P2409" t="b">
        <v>0</v>
      </c>
      <c r="Q2409" t="b">
        <v>0</v>
      </c>
      <c r="R2409" t="str">
        <f>"9781608761548"</f>
        <v>9781608761548</v>
      </c>
      <c r="S2409" t="str">
        <f>"9781617283741"</f>
        <v>9781617283741</v>
      </c>
      <c r="T2409">
        <v>662457756</v>
      </c>
    </row>
    <row r="2410" spans="1:20" x14ac:dyDescent="0.25">
      <c r="A2410">
        <v>333583</v>
      </c>
      <c r="B2410" t="s">
        <v>11826</v>
      </c>
      <c r="D2410" t="s">
        <v>2269</v>
      </c>
      <c r="E2410" t="s">
        <v>2269</v>
      </c>
      <c r="F2410">
        <v>2009</v>
      </c>
      <c r="G2410" t="s">
        <v>2116</v>
      </c>
      <c r="H2410" t="s">
        <v>11827</v>
      </c>
      <c r="I2410" t="s">
        <v>11828</v>
      </c>
      <c r="J2410" t="s">
        <v>26</v>
      </c>
      <c r="K2410" t="s">
        <v>27</v>
      </c>
      <c r="L2410" t="b">
        <v>1</v>
      </c>
      <c r="M2410" t="s">
        <v>11829</v>
      </c>
      <c r="N2410" t="str">
        <f>"571.9"</f>
        <v>571.9</v>
      </c>
      <c r="P2410" t="b">
        <v>0</v>
      </c>
      <c r="Q2410" t="b">
        <v>0</v>
      </c>
      <c r="R2410" t="str">
        <f>"9781606923801"</f>
        <v>9781606923801</v>
      </c>
      <c r="S2410" t="str">
        <f>"9781617283765"</f>
        <v>9781617283765</v>
      </c>
      <c r="T2410">
        <v>662458795</v>
      </c>
    </row>
    <row r="2411" spans="1:20" x14ac:dyDescent="0.25">
      <c r="A2411">
        <v>333582</v>
      </c>
      <c r="B2411" t="s">
        <v>11830</v>
      </c>
      <c r="C2411" t="s">
        <v>11831</v>
      </c>
      <c r="D2411" t="s">
        <v>2269</v>
      </c>
      <c r="E2411" t="s">
        <v>2269</v>
      </c>
      <c r="F2411">
        <v>2009</v>
      </c>
      <c r="G2411" t="s">
        <v>6619</v>
      </c>
      <c r="H2411" t="s">
        <v>11832</v>
      </c>
      <c r="I2411" t="s">
        <v>11833</v>
      </c>
      <c r="J2411" t="s">
        <v>26</v>
      </c>
      <c r="K2411" t="s">
        <v>27</v>
      </c>
      <c r="L2411" t="b">
        <v>1</v>
      </c>
      <c r="M2411" t="s">
        <v>11834</v>
      </c>
      <c r="N2411" t="str">
        <f>"363.3495"</f>
        <v>363.3495</v>
      </c>
      <c r="O2411" t="s">
        <v>10672</v>
      </c>
      <c r="P2411" t="b">
        <v>0</v>
      </c>
      <c r="Q2411" t="b">
        <v>0</v>
      </c>
      <c r="R2411" t="str">
        <f>"9781606926482"</f>
        <v>9781606926482</v>
      </c>
      <c r="S2411" t="str">
        <f>"9781617283758"</f>
        <v>9781617283758</v>
      </c>
      <c r="T2411">
        <v>666882992</v>
      </c>
    </row>
    <row r="2412" spans="1:20" x14ac:dyDescent="0.25">
      <c r="A2412">
        <v>333580</v>
      </c>
      <c r="B2412" t="s">
        <v>11835</v>
      </c>
      <c r="C2412" t="s">
        <v>11836</v>
      </c>
      <c r="D2412" t="s">
        <v>2269</v>
      </c>
      <c r="E2412" t="s">
        <v>2269</v>
      </c>
      <c r="F2412">
        <v>2009</v>
      </c>
      <c r="G2412" t="s">
        <v>11611</v>
      </c>
      <c r="H2412" t="s">
        <v>11837</v>
      </c>
      <c r="I2412" t="s">
        <v>11838</v>
      </c>
      <c r="J2412" t="s">
        <v>26</v>
      </c>
      <c r="K2412" t="s">
        <v>27</v>
      </c>
      <c r="L2412" t="b">
        <v>1</v>
      </c>
      <c r="M2412" t="s">
        <v>11839</v>
      </c>
      <c r="N2412" t="str">
        <f>"610"</f>
        <v>610</v>
      </c>
      <c r="O2412" t="s">
        <v>9789</v>
      </c>
      <c r="P2412" t="b">
        <v>0</v>
      </c>
      <c r="Q2412" t="b">
        <v>0</v>
      </c>
      <c r="R2412" t="str">
        <f>"9781608761197"</f>
        <v>9781608761197</v>
      </c>
      <c r="S2412" t="str">
        <f>"9781617283734"</f>
        <v>9781617283734</v>
      </c>
      <c r="T2412">
        <v>662453097</v>
      </c>
    </row>
    <row r="2413" spans="1:20" x14ac:dyDescent="0.25">
      <c r="A2413">
        <v>333579</v>
      </c>
      <c r="B2413" t="s">
        <v>11840</v>
      </c>
      <c r="D2413" t="s">
        <v>2269</v>
      </c>
      <c r="E2413" t="s">
        <v>9542</v>
      </c>
      <c r="F2413">
        <v>2009</v>
      </c>
      <c r="G2413" t="s">
        <v>6872</v>
      </c>
      <c r="H2413" t="s">
        <v>11841</v>
      </c>
      <c r="I2413" t="s">
        <v>11842</v>
      </c>
      <c r="J2413" t="s">
        <v>26</v>
      </c>
      <c r="K2413" t="s">
        <v>27</v>
      </c>
      <c r="L2413" t="b">
        <v>1</v>
      </c>
      <c r="M2413" t="s">
        <v>11843</v>
      </c>
      <c r="N2413" t="str">
        <f>"621.31"</f>
        <v>621.31</v>
      </c>
      <c r="P2413" t="b">
        <v>0</v>
      </c>
      <c r="Q2413" t="b">
        <v>0</v>
      </c>
      <c r="R2413" t="str">
        <f>"9781604566888"</f>
        <v>9781604566888</v>
      </c>
      <c r="S2413" t="str">
        <f>"9781617283727"</f>
        <v>9781617283727</v>
      </c>
      <c r="T2413">
        <v>662453114</v>
      </c>
    </row>
    <row r="2414" spans="1:20" x14ac:dyDescent="0.25">
      <c r="A2414">
        <v>333576</v>
      </c>
      <c r="B2414" t="s">
        <v>11844</v>
      </c>
      <c r="D2414" t="s">
        <v>2269</v>
      </c>
      <c r="E2414" t="s">
        <v>9542</v>
      </c>
      <c r="F2414">
        <v>2009</v>
      </c>
      <c r="G2414" t="s">
        <v>9553</v>
      </c>
      <c r="H2414" t="s">
        <v>11845</v>
      </c>
      <c r="I2414" t="s">
        <v>11846</v>
      </c>
      <c r="J2414" t="s">
        <v>26</v>
      </c>
      <c r="K2414" t="s">
        <v>27</v>
      </c>
      <c r="L2414" t="b">
        <v>1</v>
      </c>
      <c r="M2414" t="s">
        <v>11847</v>
      </c>
      <c r="N2414" t="str">
        <f>"537/.24"</f>
        <v>537/.24</v>
      </c>
      <c r="O2414" t="s">
        <v>7355</v>
      </c>
      <c r="P2414" t="b">
        <v>0</v>
      </c>
      <c r="Q2414" t="b">
        <v>0</v>
      </c>
      <c r="R2414" t="str">
        <f>"9781607410393"</f>
        <v>9781607410393</v>
      </c>
      <c r="S2414" t="str">
        <f>"9781617283673"</f>
        <v>9781617283673</v>
      </c>
      <c r="T2414">
        <v>662460105</v>
      </c>
    </row>
    <row r="2415" spans="1:20" x14ac:dyDescent="0.25">
      <c r="A2415">
        <v>333575</v>
      </c>
      <c r="B2415" t="s">
        <v>11848</v>
      </c>
      <c r="D2415" t="s">
        <v>2269</v>
      </c>
      <c r="E2415" t="s">
        <v>2269</v>
      </c>
      <c r="F2415">
        <v>2009</v>
      </c>
      <c r="G2415" t="s">
        <v>8669</v>
      </c>
      <c r="H2415" t="s">
        <v>11849</v>
      </c>
      <c r="I2415" t="s">
        <v>11850</v>
      </c>
      <c r="J2415" t="s">
        <v>26</v>
      </c>
      <c r="K2415" t="s">
        <v>27</v>
      </c>
      <c r="L2415" t="b">
        <v>1</v>
      </c>
      <c r="M2415" t="s">
        <v>11851</v>
      </c>
      <c r="N2415" t="str">
        <f>"616.99/437075"</f>
        <v>616.99/437075</v>
      </c>
      <c r="P2415" t="b">
        <v>0</v>
      </c>
      <c r="Q2415" t="b">
        <v>0</v>
      </c>
      <c r="R2415" t="str">
        <f>"9781604566918"</f>
        <v>9781604566918</v>
      </c>
      <c r="S2415" t="str">
        <f>"9781617283659"</f>
        <v>9781617283659</v>
      </c>
      <c r="T2415">
        <v>662453334</v>
      </c>
    </row>
    <row r="2416" spans="1:20" x14ac:dyDescent="0.25">
      <c r="A2416">
        <v>333573</v>
      </c>
      <c r="B2416" t="s">
        <v>11852</v>
      </c>
      <c r="D2416" t="s">
        <v>2269</v>
      </c>
      <c r="E2416" t="s">
        <v>2269</v>
      </c>
      <c r="F2416">
        <v>2009</v>
      </c>
      <c r="G2416" t="s">
        <v>8690</v>
      </c>
      <c r="H2416" t="s">
        <v>11853</v>
      </c>
      <c r="I2416" t="s">
        <v>11854</v>
      </c>
      <c r="J2416" t="s">
        <v>26</v>
      </c>
      <c r="K2416" t="s">
        <v>27</v>
      </c>
      <c r="L2416" t="b">
        <v>1</v>
      </c>
      <c r="M2416" t="s">
        <v>11855</v>
      </c>
      <c r="N2416" t="str">
        <f>"616.3/44075"</f>
        <v>616.3/44075</v>
      </c>
      <c r="P2416" t="b">
        <v>0</v>
      </c>
      <c r="Q2416" t="b">
        <v>0</v>
      </c>
      <c r="R2416" t="str">
        <f>"9781606927014"</f>
        <v>9781606927014</v>
      </c>
      <c r="S2416" t="str">
        <f>"9781617283666"</f>
        <v>9781617283666</v>
      </c>
      <c r="T2416">
        <v>662461227</v>
      </c>
    </row>
    <row r="2417" spans="1:20" x14ac:dyDescent="0.25">
      <c r="A2417">
        <v>333571</v>
      </c>
      <c r="B2417" t="s">
        <v>11856</v>
      </c>
      <c r="D2417" t="s">
        <v>2269</v>
      </c>
      <c r="E2417" t="s">
        <v>2269</v>
      </c>
      <c r="F2417">
        <v>2009</v>
      </c>
      <c r="G2417" t="s">
        <v>7599</v>
      </c>
      <c r="H2417" t="s">
        <v>11857</v>
      </c>
      <c r="I2417" t="s">
        <v>11858</v>
      </c>
      <c r="J2417" t="s">
        <v>26</v>
      </c>
      <c r="K2417" t="s">
        <v>27</v>
      </c>
      <c r="L2417" t="b">
        <v>1</v>
      </c>
      <c r="M2417" t="s">
        <v>11859</v>
      </c>
      <c r="N2417" t="str">
        <f>"618.92/8527"</f>
        <v>618.92/8527</v>
      </c>
      <c r="O2417" t="s">
        <v>11860</v>
      </c>
      <c r="P2417" t="b">
        <v>0</v>
      </c>
      <c r="Q2417" t="b">
        <v>0</v>
      </c>
      <c r="R2417" t="str">
        <f>"9781607414551"</f>
        <v>9781607414551</v>
      </c>
      <c r="S2417" t="str">
        <f>"9781617283635"</f>
        <v>9781617283635</v>
      </c>
      <c r="T2417">
        <v>662453194</v>
      </c>
    </row>
    <row r="2418" spans="1:20" x14ac:dyDescent="0.25">
      <c r="A2418">
        <v>333570</v>
      </c>
      <c r="B2418" t="s">
        <v>11861</v>
      </c>
      <c r="D2418" t="s">
        <v>2269</v>
      </c>
      <c r="E2418" t="s">
        <v>2269</v>
      </c>
      <c r="F2418">
        <v>2009</v>
      </c>
      <c r="G2418" t="s">
        <v>6872</v>
      </c>
      <c r="H2418" t="s">
        <v>11862</v>
      </c>
      <c r="I2418" t="s">
        <v>11863</v>
      </c>
      <c r="J2418" t="s">
        <v>26</v>
      </c>
      <c r="K2418" t="s">
        <v>27</v>
      </c>
      <c r="L2418" t="b">
        <v>1</v>
      </c>
      <c r="M2418" t="s">
        <v>11864</v>
      </c>
      <c r="N2418" t="str">
        <f>"333.79"</f>
        <v>333.79</v>
      </c>
      <c r="P2418" t="b">
        <v>0</v>
      </c>
      <c r="R2418" t="str">
        <f>"9781606925034"</f>
        <v>9781606925034</v>
      </c>
      <c r="S2418" t="str">
        <f>"9781617283628"</f>
        <v>9781617283628</v>
      </c>
      <c r="T2418">
        <v>662458769</v>
      </c>
    </row>
    <row r="2419" spans="1:20" x14ac:dyDescent="0.25">
      <c r="A2419">
        <v>333569</v>
      </c>
      <c r="B2419" t="s">
        <v>11865</v>
      </c>
      <c r="D2419" t="s">
        <v>2269</v>
      </c>
      <c r="E2419" t="s">
        <v>2269</v>
      </c>
      <c r="F2419">
        <v>2009</v>
      </c>
      <c r="G2419" t="s">
        <v>9250</v>
      </c>
      <c r="H2419" t="s">
        <v>11866</v>
      </c>
      <c r="I2419" t="s">
        <v>11867</v>
      </c>
      <c r="J2419" t="s">
        <v>26</v>
      </c>
      <c r="K2419" t="s">
        <v>27</v>
      </c>
      <c r="L2419" t="b">
        <v>1</v>
      </c>
      <c r="M2419" t="s">
        <v>11868</v>
      </c>
      <c r="N2419" t="str">
        <f>"617.6/95"</f>
        <v>617.6/95</v>
      </c>
      <c r="O2419" t="s">
        <v>11869</v>
      </c>
      <c r="P2419" t="b">
        <v>0</v>
      </c>
      <c r="Q2419" t="b">
        <v>0</v>
      </c>
      <c r="R2419" t="str">
        <f>"9781607411048"</f>
        <v>9781607411048</v>
      </c>
      <c r="S2419" t="str">
        <f>"9781617283611"</f>
        <v>9781617283611</v>
      </c>
      <c r="T2419">
        <v>662453226</v>
      </c>
    </row>
    <row r="2420" spans="1:20" x14ac:dyDescent="0.25">
      <c r="A2420">
        <v>333567</v>
      </c>
      <c r="B2420" t="s">
        <v>11870</v>
      </c>
      <c r="C2420" t="s">
        <v>11871</v>
      </c>
      <c r="D2420" t="s">
        <v>2269</v>
      </c>
      <c r="E2420" t="s">
        <v>2269</v>
      </c>
      <c r="F2420">
        <v>2009</v>
      </c>
      <c r="G2420" t="s">
        <v>8981</v>
      </c>
      <c r="H2420" t="s">
        <v>11872</v>
      </c>
      <c r="I2420" t="s">
        <v>11873</v>
      </c>
      <c r="J2420" t="s">
        <v>26</v>
      </c>
      <c r="K2420" t="s">
        <v>27</v>
      </c>
      <c r="L2420" t="b">
        <v>1</v>
      </c>
      <c r="M2420" t="s">
        <v>11874</v>
      </c>
      <c r="N2420" t="str">
        <f>"616.07/9"</f>
        <v>616.07/9</v>
      </c>
      <c r="O2420" t="s">
        <v>9232</v>
      </c>
      <c r="P2420" t="b">
        <v>0</v>
      </c>
      <c r="Q2420" t="b">
        <v>0</v>
      </c>
      <c r="R2420" t="str">
        <f>"9781607414605"</f>
        <v>9781607414605</v>
      </c>
      <c r="S2420" t="str">
        <f>"9781617283604"</f>
        <v>9781617283604</v>
      </c>
      <c r="T2420">
        <v>667177366</v>
      </c>
    </row>
    <row r="2421" spans="1:20" x14ac:dyDescent="0.25">
      <c r="A2421">
        <v>333565</v>
      </c>
      <c r="B2421" t="s">
        <v>11875</v>
      </c>
      <c r="D2421" t="s">
        <v>2269</v>
      </c>
      <c r="E2421" t="s">
        <v>2269</v>
      </c>
      <c r="F2421">
        <v>2009</v>
      </c>
      <c r="G2421" t="s">
        <v>11876</v>
      </c>
      <c r="H2421" t="s">
        <v>11877</v>
      </c>
      <c r="I2421" t="s">
        <v>11878</v>
      </c>
      <c r="J2421" t="s">
        <v>26</v>
      </c>
      <c r="K2421" t="s">
        <v>27</v>
      </c>
      <c r="L2421" t="b">
        <v>1</v>
      </c>
      <c r="M2421" t="s">
        <v>11879</v>
      </c>
      <c r="N2421" t="str">
        <f>"610.28/4"</f>
        <v>610.28/4</v>
      </c>
      <c r="P2421" t="b">
        <v>0</v>
      </c>
      <c r="Q2421" t="b">
        <v>0</v>
      </c>
      <c r="R2421" t="str">
        <f>"9781606924266"</f>
        <v>9781606924266</v>
      </c>
      <c r="S2421" t="str">
        <f>"9781617283574"</f>
        <v>9781617283574</v>
      </c>
      <c r="T2421">
        <v>662453275</v>
      </c>
    </row>
    <row r="2422" spans="1:20" x14ac:dyDescent="0.25">
      <c r="A2422">
        <v>333564</v>
      </c>
      <c r="B2422" t="s">
        <v>11880</v>
      </c>
      <c r="C2422" t="s">
        <v>11881</v>
      </c>
      <c r="D2422" t="s">
        <v>2269</v>
      </c>
      <c r="E2422" t="s">
        <v>2269</v>
      </c>
      <c r="F2422">
        <v>2009</v>
      </c>
      <c r="G2422" t="s">
        <v>10034</v>
      </c>
      <c r="H2422" t="s">
        <v>11882</v>
      </c>
      <c r="I2422" t="s">
        <v>11883</v>
      </c>
      <c r="J2422" t="s">
        <v>26</v>
      </c>
      <c r="K2422" t="s">
        <v>27</v>
      </c>
      <c r="L2422" t="b">
        <v>1</v>
      </c>
      <c r="M2422" t="s">
        <v>11884</v>
      </c>
      <c r="N2422" t="str">
        <f>"616.2"</f>
        <v>616.2</v>
      </c>
      <c r="O2422" t="s">
        <v>11885</v>
      </c>
      <c r="P2422" t="b">
        <v>0</v>
      </c>
      <c r="Q2422" t="b">
        <v>0</v>
      </c>
      <c r="R2422" t="str">
        <f>"9781608761272"</f>
        <v>9781608761272</v>
      </c>
      <c r="S2422" t="str">
        <f>"9781617282638"</f>
        <v>9781617282638</v>
      </c>
      <c r="T2422">
        <v>659560949</v>
      </c>
    </row>
    <row r="2423" spans="1:20" x14ac:dyDescent="0.25">
      <c r="A2423">
        <v>333559</v>
      </c>
      <c r="B2423" t="s">
        <v>11886</v>
      </c>
      <c r="C2423" t="s">
        <v>11887</v>
      </c>
      <c r="D2423" t="s">
        <v>2269</v>
      </c>
      <c r="E2423" t="s">
        <v>2269</v>
      </c>
      <c r="F2423">
        <v>2009</v>
      </c>
      <c r="G2423" t="s">
        <v>6247</v>
      </c>
      <c r="H2423" t="s">
        <v>11888</v>
      </c>
      <c r="I2423" t="s">
        <v>9302</v>
      </c>
      <c r="J2423" t="s">
        <v>26</v>
      </c>
      <c r="K2423" t="s">
        <v>27</v>
      </c>
      <c r="L2423" t="b">
        <v>1</v>
      </c>
      <c r="M2423" t="s">
        <v>11889</v>
      </c>
      <c r="N2423" t="str">
        <f>"614.4/4"</f>
        <v>614.4/4</v>
      </c>
      <c r="O2423" t="s">
        <v>9409</v>
      </c>
      <c r="P2423" t="b">
        <v>0</v>
      </c>
      <c r="Q2423" t="b">
        <v>0</v>
      </c>
      <c r="R2423" t="str">
        <f>"9781607414674"</f>
        <v>9781607414674</v>
      </c>
      <c r="S2423" t="str">
        <f>"9781617282140"</f>
        <v>9781617282140</v>
      </c>
      <c r="T2423">
        <v>659563503</v>
      </c>
    </row>
    <row r="2424" spans="1:20" x14ac:dyDescent="0.25">
      <c r="A2424">
        <v>333558</v>
      </c>
      <c r="B2424" t="s">
        <v>11890</v>
      </c>
      <c r="D2424" t="s">
        <v>2269</v>
      </c>
      <c r="E2424" t="s">
        <v>2269</v>
      </c>
      <c r="F2424">
        <v>2009</v>
      </c>
      <c r="G2424" t="s">
        <v>7627</v>
      </c>
      <c r="H2424" t="s">
        <v>11891</v>
      </c>
      <c r="I2424" t="s">
        <v>11892</v>
      </c>
      <c r="J2424" t="s">
        <v>26</v>
      </c>
      <c r="K2424" t="s">
        <v>27</v>
      </c>
      <c r="L2424" t="b">
        <v>1</v>
      </c>
      <c r="M2424" t="s">
        <v>11893</v>
      </c>
      <c r="N2424" t="str">
        <f>"612.8/21"</f>
        <v>612.8/21</v>
      </c>
      <c r="O2424" t="s">
        <v>9232</v>
      </c>
      <c r="P2424" t="b">
        <v>0</v>
      </c>
      <c r="Q2424" t="b">
        <v>0</v>
      </c>
      <c r="R2424" t="str">
        <f>"9781607415084"</f>
        <v>9781607415084</v>
      </c>
      <c r="S2424" t="str">
        <f>"9781617282164"</f>
        <v>9781617282164</v>
      </c>
      <c r="T2424">
        <v>659558449</v>
      </c>
    </row>
    <row r="2425" spans="1:20" x14ac:dyDescent="0.25">
      <c r="A2425">
        <v>333557</v>
      </c>
      <c r="B2425" t="s">
        <v>11894</v>
      </c>
      <c r="D2425" t="s">
        <v>2269</v>
      </c>
      <c r="E2425" t="s">
        <v>2269</v>
      </c>
      <c r="F2425">
        <v>2009</v>
      </c>
      <c r="G2425" t="s">
        <v>1391</v>
      </c>
      <c r="H2425" t="s">
        <v>11895</v>
      </c>
      <c r="I2425" t="s">
        <v>11896</v>
      </c>
      <c r="J2425" t="s">
        <v>26</v>
      </c>
      <c r="K2425" t="s">
        <v>27</v>
      </c>
      <c r="L2425" t="b">
        <v>1</v>
      </c>
      <c r="M2425" t="s">
        <v>11897</v>
      </c>
      <c r="N2425" t="str">
        <f>"352.3/79"</f>
        <v>352.3/79</v>
      </c>
      <c r="P2425" t="b">
        <v>0</v>
      </c>
      <c r="Q2425" t="b">
        <v>0</v>
      </c>
      <c r="R2425" t="str">
        <f>"9781606926581"</f>
        <v>9781606926581</v>
      </c>
      <c r="S2425" t="str">
        <f>"9781617282188"</f>
        <v>9781617282188</v>
      </c>
      <c r="T2425">
        <v>663587939</v>
      </c>
    </row>
    <row r="2426" spans="1:20" x14ac:dyDescent="0.25">
      <c r="A2426">
        <v>333555</v>
      </c>
      <c r="B2426" t="s">
        <v>11898</v>
      </c>
      <c r="D2426" t="s">
        <v>2269</v>
      </c>
      <c r="E2426" t="s">
        <v>2269</v>
      </c>
      <c r="F2426">
        <v>2009</v>
      </c>
      <c r="G2426" t="s">
        <v>8619</v>
      </c>
      <c r="H2426" t="s">
        <v>11899</v>
      </c>
      <c r="I2426" t="s">
        <v>11900</v>
      </c>
      <c r="J2426" t="s">
        <v>26</v>
      </c>
      <c r="K2426" t="s">
        <v>27</v>
      </c>
      <c r="L2426" t="b">
        <v>1</v>
      </c>
      <c r="M2426" t="s">
        <v>11901</v>
      </c>
      <c r="N2426" t="str">
        <f>"363.72/93"</f>
        <v>363.72/93</v>
      </c>
      <c r="P2426" t="b">
        <v>0</v>
      </c>
      <c r="Q2426" t="b">
        <v>0</v>
      </c>
      <c r="R2426" t="str">
        <f>"9781606926550"</f>
        <v>9781606926550</v>
      </c>
      <c r="S2426" t="str">
        <f>"9781617282157"</f>
        <v>9781617282157</v>
      </c>
      <c r="T2426">
        <v>659561190</v>
      </c>
    </row>
    <row r="2427" spans="1:20" x14ac:dyDescent="0.25">
      <c r="A2427">
        <v>333552</v>
      </c>
      <c r="B2427" t="s">
        <v>11902</v>
      </c>
      <c r="D2427" t="s">
        <v>2269</v>
      </c>
      <c r="E2427" t="s">
        <v>2269</v>
      </c>
      <c r="F2427">
        <v>2009</v>
      </c>
      <c r="G2427" t="s">
        <v>4275</v>
      </c>
      <c r="H2427" t="s">
        <v>11903</v>
      </c>
      <c r="I2427" t="s">
        <v>11904</v>
      </c>
      <c r="J2427" t="s">
        <v>26</v>
      </c>
      <c r="K2427" t="s">
        <v>27</v>
      </c>
      <c r="L2427" t="b">
        <v>1</v>
      </c>
      <c r="M2427" t="s">
        <v>11905</v>
      </c>
      <c r="N2427" t="str">
        <f>"617.4/12"</f>
        <v>617.4/12</v>
      </c>
      <c r="O2427" t="s">
        <v>10412</v>
      </c>
      <c r="P2427" t="b">
        <v>0</v>
      </c>
      <c r="Q2427" t="b">
        <v>0</v>
      </c>
      <c r="R2427" t="str">
        <f>"9781607410645"</f>
        <v>9781607410645</v>
      </c>
      <c r="S2427" t="str">
        <f>"9781617282096"</f>
        <v>9781617282096</v>
      </c>
      <c r="T2427">
        <v>659560401</v>
      </c>
    </row>
    <row r="2428" spans="1:20" x14ac:dyDescent="0.25">
      <c r="A2428">
        <v>333544</v>
      </c>
      <c r="B2428" t="s">
        <v>11906</v>
      </c>
      <c r="D2428" t="s">
        <v>2269</v>
      </c>
      <c r="E2428" t="s">
        <v>2269</v>
      </c>
      <c r="F2428">
        <v>2009</v>
      </c>
      <c r="G2428" t="s">
        <v>11000</v>
      </c>
      <c r="H2428" t="s">
        <v>11907</v>
      </c>
      <c r="I2428" t="s">
        <v>11908</v>
      </c>
      <c r="J2428" t="s">
        <v>26</v>
      </c>
      <c r="K2428" t="s">
        <v>27</v>
      </c>
      <c r="L2428" t="b">
        <v>1</v>
      </c>
      <c r="M2428" t="s">
        <v>11909</v>
      </c>
      <c r="N2428" t="str">
        <f>"363.19"</f>
        <v>363.19</v>
      </c>
      <c r="O2428" t="s">
        <v>11910</v>
      </c>
      <c r="P2428" t="b">
        <v>0</v>
      </c>
      <c r="Q2428" t="b">
        <v>0</v>
      </c>
      <c r="R2428" t="str">
        <f>"9781604568264"</f>
        <v>9781604568264</v>
      </c>
      <c r="S2428" t="str">
        <f>"9781617282010"</f>
        <v>9781617282010</v>
      </c>
      <c r="T2428">
        <v>659564546</v>
      </c>
    </row>
    <row r="2429" spans="1:20" x14ac:dyDescent="0.25">
      <c r="A2429">
        <v>333543</v>
      </c>
      <c r="B2429" t="s">
        <v>11911</v>
      </c>
      <c r="D2429" t="s">
        <v>2269</v>
      </c>
      <c r="E2429" t="s">
        <v>2269</v>
      </c>
      <c r="F2429">
        <v>2009</v>
      </c>
      <c r="G2429" t="s">
        <v>9553</v>
      </c>
      <c r="H2429" t="s">
        <v>11912</v>
      </c>
      <c r="I2429" t="s">
        <v>11913</v>
      </c>
      <c r="J2429" t="s">
        <v>26</v>
      </c>
      <c r="K2429" t="s">
        <v>27</v>
      </c>
      <c r="L2429" t="b">
        <v>1</v>
      </c>
      <c r="M2429" t="s">
        <v>11914</v>
      </c>
      <c r="N2429" t="str">
        <f>"620.1/1015118"</f>
        <v>620.1/1015118</v>
      </c>
      <c r="P2429" t="b">
        <v>0</v>
      </c>
      <c r="Q2429" t="b">
        <v>0</v>
      </c>
      <c r="R2429" t="str">
        <f>"9781604568967"</f>
        <v>9781604568967</v>
      </c>
      <c r="S2429" t="str">
        <f>"9781617281952"</f>
        <v>9781617281952</v>
      </c>
      <c r="T2429">
        <v>659562129</v>
      </c>
    </row>
    <row r="2430" spans="1:20" x14ac:dyDescent="0.25">
      <c r="A2430">
        <v>333538</v>
      </c>
      <c r="B2430" t="s">
        <v>11915</v>
      </c>
      <c r="C2430" t="s">
        <v>7373</v>
      </c>
      <c r="D2430" t="s">
        <v>2269</v>
      </c>
      <c r="E2430" t="s">
        <v>2269</v>
      </c>
      <c r="F2430">
        <v>2009</v>
      </c>
      <c r="G2430" t="s">
        <v>10683</v>
      </c>
      <c r="H2430" t="s">
        <v>11916</v>
      </c>
      <c r="I2430" t="s">
        <v>11917</v>
      </c>
      <c r="J2430" t="s">
        <v>26</v>
      </c>
      <c r="K2430" t="s">
        <v>27</v>
      </c>
      <c r="L2430" t="b">
        <v>1</v>
      </c>
      <c r="M2430" t="s">
        <v>11918</v>
      </c>
      <c r="N2430" t="str">
        <f>"512/.44"</f>
        <v>512/.44</v>
      </c>
      <c r="P2430" t="b">
        <v>0</v>
      </c>
      <c r="Q2430" t="b">
        <v>0</v>
      </c>
      <c r="R2430" t="str">
        <f>"9781606926147"</f>
        <v>9781606926147</v>
      </c>
      <c r="S2430" t="str">
        <f>"9781617281921"</f>
        <v>9781617281921</v>
      </c>
      <c r="T2430">
        <v>659560799</v>
      </c>
    </row>
    <row r="2431" spans="1:20" x14ac:dyDescent="0.25">
      <c r="A2431">
        <v>333537</v>
      </c>
      <c r="B2431" t="s">
        <v>11919</v>
      </c>
      <c r="D2431" t="s">
        <v>2269</v>
      </c>
      <c r="E2431" t="s">
        <v>2269</v>
      </c>
      <c r="F2431">
        <v>2009</v>
      </c>
      <c r="G2431" t="s">
        <v>10133</v>
      </c>
      <c r="H2431" t="s">
        <v>11920</v>
      </c>
      <c r="I2431" t="s">
        <v>11921</v>
      </c>
      <c r="J2431" t="s">
        <v>26</v>
      </c>
      <c r="K2431" t="s">
        <v>27</v>
      </c>
      <c r="L2431" t="b">
        <v>1</v>
      </c>
      <c r="M2431" t="s">
        <v>11922</v>
      </c>
      <c r="N2431" t="str">
        <f>"615/.1"</f>
        <v>615/.1</v>
      </c>
      <c r="O2431" t="s">
        <v>10693</v>
      </c>
      <c r="P2431" t="b">
        <v>0</v>
      </c>
      <c r="Q2431" t="b">
        <v>0</v>
      </c>
      <c r="R2431" t="str">
        <f>"9781607411093"</f>
        <v>9781607411093</v>
      </c>
      <c r="S2431" t="str">
        <f>"9781617281938"</f>
        <v>9781617281938</v>
      </c>
      <c r="T2431">
        <v>663903442</v>
      </c>
    </row>
    <row r="2432" spans="1:20" x14ac:dyDescent="0.25">
      <c r="A2432">
        <v>333534</v>
      </c>
      <c r="B2432" t="s">
        <v>11923</v>
      </c>
      <c r="D2432" t="s">
        <v>2269</v>
      </c>
      <c r="E2432" t="s">
        <v>2269</v>
      </c>
      <c r="F2432">
        <v>2009</v>
      </c>
      <c r="G2432" t="s">
        <v>7345</v>
      </c>
      <c r="H2432" t="s">
        <v>11924</v>
      </c>
      <c r="I2432" t="s">
        <v>11925</v>
      </c>
      <c r="J2432" t="s">
        <v>26</v>
      </c>
      <c r="K2432" t="s">
        <v>27</v>
      </c>
      <c r="L2432" t="b">
        <v>1</v>
      </c>
      <c r="M2432" t="s">
        <v>11926</v>
      </c>
      <c r="N2432" t="str">
        <f>"629.4"</f>
        <v>629.4</v>
      </c>
      <c r="P2432" t="b">
        <v>0</v>
      </c>
      <c r="Q2432" t="b">
        <v>0</v>
      </c>
      <c r="R2432" t="str">
        <f>"9781606921142"</f>
        <v>9781606921142</v>
      </c>
      <c r="S2432" t="str">
        <f>"9781617281891"</f>
        <v>9781617281891</v>
      </c>
      <c r="T2432">
        <v>659562298</v>
      </c>
    </row>
    <row r="2433" spans="1:20" x14ac:dyDescent="0.25">
      <c r="A2433">
        <v>333530</v>
      </c>
      <c r="B2433" t="s">
        <v>11927</v>
      </c>
      <c r="D2433" t="s">
        <v>2269</v>
      </c>
      <c r="E2433" t="s">
        <v>2269</v>
      </c>
      <c r="F2433">
        <v>2009</v>
      </c>
      <c r="G2433" t="s">
        <v>7599</v>
      </c>
      <c r="H2433" t="s">
        <v>11928</v>
      </c>
      <c r="I2433" t="s">
        <v>11929</v>
      </c>
      <c r="J2433" t="s">
        <v>26</v>
      </c>
      <c r="K2433" t="s">
        <v>27</v>
      </c>
      <c r="L2433" t="b">
        <v>1</v>
      </c>
      <c r="M2433" t="s">
        <v>11930</v>
      </c>
      <c r="N2433" t="str">
        <f>"618.92/0472"</f>
        <v>618.92/0472</v>
      </c>
      <c r="O2433" t="s">
        <v>7371</v>
      </c>
      <c r="P2433" t="b">
        <v>0</v>
      </c>
      <c r="Q2433" t="b">
        <v>0</v>
      </c>
      <c r="R2433" t="str">
        <f>"9781608760206"</f>
        <v>9781608760206</v>
      </c>
      <c r="S2433" t="str">
        <f>"9781617281839"</f>
        <v>9781617281839</v>
      </c>
      <c r="T2433">
        <v>659564501</v>
      </c>
    </row>
    <row r="2434" spans="1:20" x14ac:dyDescent="0.25">
      <c r="A2434">
        <v>333525</v>
      </c>
      <c r="B2434" t="s">
        <v>11931</v>
      </c>
      <c r="D2434" t="s">
        <v>2269</v>
      </c>
      <c r="E2434" t="s">
        <v>8996</v>
      </c>
      <c r="F2434">
        <v>2009</v>
      </c>
      <c r="G2434" t="s">
        <v>8503</v>
      </c>
      <c r="H2434" t="s">
        <v>11932</v>
      </c>
      <c r="I2434" t="s">
        <v>11933</v>
      </c>
      <c r="J2434" t="s">
        <v>26</v>
      </c>
      <c r="K2434" t="s">
        <v>27</v>
      </c>
      <c r="L2434" t="b">
        <v>1</v>
      </c>
      <c r="M2434" t="s">
        <v>11934</v>
      </c>
      <c r="N2434" t="str">
        <f>"616.99/4"</f>
        <v>616.99/4</v>
      </c>
      <c r="P2434" t="b">
        <v>0</v>
      </c>
      <c r="Q2434" t="b">
        <v>0</v>
      </c>
      <c r="R2434" t="str">
        <f>"9781606926765"</f>
        <v>9781606926765</v>
      </c>
      <c r="S2434" t="str">
        <f>"9781617281730"</f>
        <v>9781617281730</v>
      </c>
      <c r="T2434">
        <v>663618909</v>
      </c>
    </row>
    <row r="2435" spans="1:20" x14ac:dyDescent="0.25">
      <c r="A2435">
        <v>333524</v>
      </c>
      <c r="B2435" t="s">
        <v>11935</v>
      </c>
      <c r="C2435" t="s">
        <v>11936</v>
      </c>
      <c r="D2435" t="s">
        <v>2269</v>
      </c>
      <c r="E2435" t="s">
        <v>2269</v>
      </c>
      <c r="F2435">
        <v>2009</v>
      </c>
      <c r="G2435" t="s">
        <v>9553</v>
      </c>
      <c r="H2435" t="s">
        <v>11937</v>
      </c>
      <c r="I2435" t="s">
        <v>11938</v>
      </c>
      <c r="J2435" t="s">
        <v>26</v>
      </c>
      <c r="K2435" t="s">
        <v>27</v>
      </c>
      <c r="L2435" t="b">
        <v>1</v>
      </c>
      <c r="M2435" t="s">
        <v>11939</v>
      </c>
      <c r="N2435" t="str">
        <f>"620.1/92"</f>
        <v>620.1/92</v>
      </c>
      <c r="O2435" t="s">
        <v>11940</v>
      </c>
      <c r="P2435" t="b">
        <v>0</v>
      </c>
      <c r="Q2435" t="b">
        <v>0</v>
      </c>
      <c r="R2435" t="str">
        <f>"9781606923535"</f>
        <v>9781606923535</v>
      </c>
      <c r="S2435" t="str">
        <f>"9781617281785"</f>
        <v>9781617281785</v>
      </c>
      <c r="T2435">
        <v>663111963</v>
      </c>
    </row>
    <row r="2436" spans="1:20" x14ac:dyDescent="0.25">
      <c r="A2436">
        <v>333523</v>
      </c>
      <c r="B2436" t="s">
        <v>11941</v>
      </c>
      <c r="D2436" t="s">
        <v>2269</v>
      </c>
      <c r="E2436" t="s">
        <v>2269</v>
      </c>
      <c r="F2436">
        <v>2009</v>
      </c>
      <c r="G2436" t="s">
        <v>10129</v>
      </c>
      <c r="H2436" t="s">
        <v>11942</v>
      </c>
      <c r="I2436" t="s">
        <v>11943</v>
      </c>
      <c r="J2436" t="s">
        <v>26</v>
      </c>
      <c r="K2436" t="s">
        <v>27</v>
      </c>
      <c r="L2436" t="b">
        <v>1</v>
      </c>
      <c r="M2436" t="s">
        <v>11944</v>
      </c>
      <c r="N2436" t="str">
        <f>"660/.2804"</f>
        <v>660/.2804</v>
      </c>
      <c r="O2436" t="s">
        <v>11910</v>
      </c>
      <c r="P2436" t="b">
        <v>0</v>
      </c>
      <c r="Q2436" t="b">
        <v>0</v>
      </c>
      <c r="R2436" t="str">
        <f>"9781606925867"</f>
        <v>9781606925867</v>
      </c>
      <c r="S2436" t="str">
        <f>"9781617281778"</f>
        <v>9781617281778</v>
      </c>
      <c r="T2436">
        <v>663110934</v>
      </c>
    </row>
    <row r="2437" spans="1:20" x14ac:dyDescent="0.25">
      <c r="A2437">
        <v>333521</v>
      </c>
      <c r="B2437" t="s">
        <v>11945</v>
      </c>
      <c r="D2437" t="s">
        <v>2269</v>
      </c>
      <c r="E2437" t="s">
        <v>8996</v>
      </c>
      <c r="F2437">
        <v>2009</v>
      </c>
      <c r="G2437" t="s">
        <v>9802</v>
      </c>
      <c r="H2437" t="s">
        <v>11946</v>
      </c>
      <c r="I2437" t="s">
        <v>11947</v>
      </c>
      <c r="J2437" t="s">
        <v>26</v>
      </c>
      <c r="K2437" t="s">
        <v>27</v>
      </c>
      <c r="L2437" t="b">
        <v>1</v>
      </c>
      <c r="M2437" t="s">
        <v>11948</v>
      </c>
      <c r="N2437" t="str">
        <f>"616.8/1"</f>
        <v>616.8/1</v>
      </c>
      <c r="O2437" t="s">
        <v>10666</v>
      </c>
      <c r="P2437" t="b">
        <v>0</v>
      </c>
      <c r="Q2437" t="b">
        <v>0</v>
      </c>
      <c r="R2437" t="str">
        <f>"9781607416272"</f>
        <v>9781607416272</v>
      </c>
      <c r="S2437" t="str">
        <f>"9781617281747"</f>
        <v>9781617281747</v>
      </c>
      <c r="T2437">
        <v>659560377</v>
      </c>
    </row>
    <row r="2438" spans="1:20" x14ac:dyDescent="0.25">
      <c r="A2438">
        <v>333518</v>
      </c>
      <c r="B2438" t="s">
        <v>11949</v>
      </c>
      <c r="D2438" t="s">
        <v>2269</v>
      </c>
      <c r="E2438" t="s">
        <v>2269</v>
      </c>
      <c r="F2438">
        <v>2009</v>
      </c>
      <c r="G2438" t="s">
        <v>7599</v>
      </c>
      <c r="H2438" t="s">
        <v>11950</v>
      </c>
      <c r="I2438" t="s">
        <v>11951</v>
      </c>
      <c r="J2438" t="s">
        <v>26</v>
      </c>
      <c r="K2438" t="s">
        <v>27</v>
      </c>
      <c r="L2438" t="b">
        <v>1</v>
      </c>
      <c r="M2438" t="s">
        <v>11952</v>
      </c>
      <c r="N2438" t="str">
        <f>"618.92"</f>
        <v>618.92</v>
      </c>
      <c r="P2438" t="b">
        <v>0</v>
      </c>
      <c r="Q2438" t="b">
        <v>0</v>
      </c>
      <c r="R2438" t="str">
        <f>"9781606928660"</f>
        <v>9781606928660</v>
      </c>
      <c r="S2438" t="str">
        <f>"9781617281792"</f>
        <v>9781617281792</v>
      </c>
      <c r="T2438">
        <v>663603525</v>
      </c>
    </row>
    <row r="2439" spans="1:20" x14ac:dyDescent="0.25">
      <c r="A2439">
        <v>333517</v>
      </c>
      <c r="B2439" t="s">
        <v>11953</v>
      </c>
      <c r="D2439" t="s">
        <v>2269</v>
      </c>
      <c r="E2439" t="s">
        <v>2269</v>
      </c>
      <c r="F2439">
        <v>2009</v>
      </c>
      <c r="G2439" t="s">
        <v>9110</v>
      </c>
      <c r="H2439" t="s">
        <v>11954</v>
      </c>
      <c r="I2439" t="s">
        <v>11955</v>
      </c>
      <c r="J2439" t="s">
        <v>26</v>
      </c>
      <c r="K2439" t="s">
        <v>27</v>
      </c>
      <c r="L2439" t="b">
        <v>1</v>
      </c>
      <c r="M2439" t="s">
        <v>11956</v>
      </c>
      <c r="N2439" t="str">
        <f>"612.4/1"</f>
        <v>612.4/1</v>
      </c>
      <c r="O2439" t="s">
        <v>11957</v>
      </c>
      <c r="P2439" t="b">
        <v>0</v>
      </c>
      <c r="Q2439" t="b">
        <v>0</v>
      </c>
      <c r="R2439" t="str">
        <f>"9781607417330"</f>
        <v>9781607417330</v>
      </c>
      <c r="S2439" t="str">
        <f>"9781617281723"</f>
        <v>9781617281723</v>
      </c>
      <c r="T2439">
        <v>659561251</v>
      </c>
    </row>
    <row r="2440" spans="1:20" x14ac:dyDescent="0.25">
      <c r="A2440">
        <v>333516</v>
      </c>
      <c r="B2440" t="s">
        <v>11958</v>
      </c>
      <c r="D2440" t="s">
        <v>2269</v>
      </c>
      <c r="E2440" t="s">
        <v>9542</v>
      </c>
      <c r="F2440">
        <v>2009</v>
      </c>
      <c r="G2440" t="s">
        <v>8701</v>
      </c>
      <c r="H2440" t="s">
        <v>11959</v>
      </c>
      <c r="I2440" t="s">
        <v>11960</v>
      </c>
      <c r="J2440" t="s">
        <v>26</v>
      </c>
      <c r="K2440" t="s">
        <v>27</v>
      </c>
      <c r="L2440" t="b">
        <v>1</v>
      </c>
      <c r="M2440" t="s">
        <v>11961</v>
      </c>
      <c r="N2440" t="str">
        <f>"572/.43"</f>
        <v>572/.43</v>
      </c>
      <c r="P2440" t="b">
        <v>0</v>
      </c>
      <c r="Q2440" t="b">
        <v>0</v>
      </c>
      <c r="R2440" t="str">
        <f>"9781600214264"</f>
        <v>9781600214264</v>
      </c>
      <c r="S2440" t="str">
        <f>"9781617281501"</f>
        <v>9781617281501</v>
      </c>
      <c r="T2440">
        <v>659558231</v>
      </c>
    </row>
    <row r="2441" spans="1:20" x14ac:dyDescent="0.25">
      <c r="A2441">
        <v>333514</v>
      </c>
      <c r="B2441" t="s">
        <v>11962</v>
      </c>
      <c r="C2441" t="s">
        <v>10764</v>
      </c>
      <c r="D2441" t="s">
        <v>2269</v>
      </c>
      <c r="E2441" t="s">
        <v>2269</v>
      </c>
      <c r="F2441">
        <v>2009</v>
      </c>
      <c r="G2441" t="s">
        <v>11876</v>
      </c>
      <c r="H2441" t="s">
        <v>11963</v>
      </c>
      <c r="I2441" t="s">
        <v>11964</v>
      </c>
      <c r="J2441" t="s">
        <v>26</v>
      </c>
      <c r="K2441" t="s">
        <v>27</v>
      </c>
      <c r="L2441" t="b">
        <v>1</v>
      </c>
      <c r="M2441" t="s">
        <v>11965</v>
      </c>
      <c r="N2441" t="str">
        <f>"610.28/4"</f>
        <v>610.28/4</v>
      </c>
      <c r="P2441" t="b">
        <v>0</v>
      </c>
      <c r="Q2441" t="b">
        <v>0</v>
      </c>
      <c r="R2441" t="str">
        <f>"9781607410560"</f>
        <v>9781607410560</v>
      </c>
      <c r="S2441" t="str">
        <f>"9781617281488"</f>
        <v>9781617281488</v>
      </c>
      <c r="T2441">
        <v>659560297</v>
      </c>
    </row>
    <row r="2442" spans="1:20" x14ac:dyDescent="0.25">
      <c r="A2442">
        <v>333513</v>
      </c>
      <c r="B2442" t="s">
        <v>11966</v>
      </c>
      <c r="D2442" t="s">
        <v>2269</v>
      </c>
      <c r="E2442" t="s">
        <v>9542</v>
      </c>
      <c r="F2442">
        <v>2009</v>
      </c>
      <c r="G2442" t="s">
        <v>9553</v>
      </c>
      <c r="H2442" t="s">
        <v>11967</v>
      </c>
      <c r="I2442" t="s">
        <v>11968</v>
      </c>
      <c r="J2442" t="s">
        <v>26</v>
      </c>
      <c r="K2442" t="s">
        <v>27</v>
      </c>
      <c r="L2442" t="b">
        <v>1</v>
      </c>
      <c r="M2442" t="s">
        <v>11969</v>
      </c>
      <c r="N2442" t="str">
        <f>"624.1/8"</f>
        <v>624.1/8</v>
      </c>
      <c r="O2442" t="s">
        <v>7355</v>
      </c>
      <c r="P2442" t="b">
        <v>0</v>
      </c>
      <c r="Q2442" t="b">
        <v>0</v>
      </c>
      <c r="R2442" t="str">
        <f>"9781607410829"</f>
        <v>9781607410829</v>
      </c>
      <c r="S2442" t="str">
        <f>"9781617281549"</f>
        <v>9781617281549</v>
      </c>
      <c r="T2442">
        <v>659560728</v>
      </c>
    </row>
    <row r="2443" spans="1:20" x14ac:dyDescent="0.25">
      <c r="A2443">
        <v>333512</v>
      </c>
      <c r="B2443" t="s">
        <v>11970</v>
      </c>
      <c r="D2443" t="s">
        <v>2269</v>
      </c>
      <c r="E2443" t="s">
        <v>9542</v>
      </c>
      <c r="F2443">
        <v>2009</v>
      </c>
      <c r="G2443" t="s">
        <v>4132</v>
      </c>
      <c r="H2443" t="s">
        <v>11971</v>
      </c>
      <c r="I2443" t="s">
        <v>11972</v>
      </c>
      <c r="J2443" t="s">
        <v>26</v>
      </c>
      <c r="K2443" t="s">
        <v>27</v>
      </c>
      <c r="L2443" t="b">
        <v>1</v>
      </c>
      <c r="M2443" t="s">
        <v>11973</v>
      </c>
      <c r="N2443" t="str">
        <f>"696"</f>
        <v>696</v>
      </c>
      <c r="O2443" t="s">
        <v>10785</v>
      </c>
      <c r="P2443" t="b">
        <v>0</v>
      </c>
      <c r="Q2443" t="b">
        <v>0</v>
      </c>
      <c r="R2443" t="str">
        <f>"9781608761289"</f>
        <v>9781608761289</v>
      </c>
      <c r="S2443" t="str">
        <f>"9781617281556"</f>
        <v>9781617281556</v>
      </c>
      <c r="T2443">
        <v>659560714</v>
      </c>
    </row>
    <row r="2444" spans="1:20" x14ac:dyDescent="0.25">
      <c r="A2444">
        <v>333511</v>
      </c>
      <c r="B2444" t="s">
        <v>11974</v>
      </c>
      <c r="C2444" t="s">
        <v>11975</v>
      </c>
      <c r="D2444" t="s">
        <v>2269</v>
      </c>
      <c r="E2444" t="s">
        <v>2269</v>
      </c>
      <c r="F2444">
        <v>2009</v>
      </c>
      <c r="G2444" t="s">
        <v>1054</v>
      </c>
      <c r="H2444" t="s">
        <v>11976</v>
      </c>
      <c r="I2444" t="s">
        <v>11977</v>
      </c>
      <c r="J2444" t="s">
        <v>26</v>
      </c>
      <c r="K2444" t="s">
        <v>27</v>
      </c>
      <c r="L2444" t="b">
        <v>1</v>
      </c>
      <c r="M2444" t="s">
        <v>11978</v>
      </c>
      <c r="N2444" t="str">
        <f>"616.1203"</f>
        <v>616.1203</v>
      </c>
      <c r="P2444" t="b">
        <v>0</v>
      </c>
      <c r="Q2444" t="b">
        <v>0</v>
      </c>
      <c r="R2444" t="str">
        <f>"9781607411673"</f>
        <v>9781607411673</v>
      </c>
      <c r="S2444" t="str">
        <f>"9781617281587"</f>
        <v>9781617281587</v>
      </c>
      <c r="T2444">
        <v>663111938</v>
      </c>
    </row>
    <row r="2445" spans="1:20" x14ac:dyDescent="0.25">
      <c r="A2445">
        <v>333510</v>
      </c>
      <c r="B2445" t="s">
        <v>11979</v>
      </c>
      <c r="D2445" t="s">
        <v>2269</v>
      </c>
      <c r="E2445" t="s">
        <v>9542</v>
      </c>
      <c r="F2445">
        <v>2009</v>
      </c>
      <c r="G2445" t="s">
        <v>8354</v>
      </c>
      <c r="H2445" t="s">
        <v>11980</v>
      </c>
      <c r="I2445" t="s">
        <v>11981</v>
      </c>
      <c r="J2445" t="s">
        <v>26</v>
      </c>
      <c r="K2445" t="s">
        <v>27</v>
      </c>
      <c r="L2445" t="b">
        <v>1</v>
      </c>
      <c r="M2445" t="s">
        <v>11982</v>
      </c>
      <c r="N2445" t="str">
        <f>"660.6/3"</f>
        <v>660.6/3</v>
      </c>
      <c r="O2445" t="s">
        <v>9837</v>
      </c>
      <c r="P2445" t="b">
        <v>0</v>
      </c>
      <c r="Q2445" t="b">
        <v>0</v>
      </c>
      <c r="R2445" t="str">
        <f>"9781607412571"</f>
        <v>9781607412571</v>
      </c>
      <c r="S2445" t="str">
        <f>"9781617281495"</f>
        <v>9781617281495</v>
      </c>
      <c r="T2445">
        <v>659561236</v>
      </c>
    </row>
    <row r="2446" spans="1:20" x14ac:dyDescent="0.25">
      <c r="A2446">
        <v>333509</v>
      </c>
      <c r="B2446" t="s">
        <v>11983</v>
      </c>
      <c r="C2446" t="s">
        <v>11984</v>
      </c>
      <c r="D2446" t="s">
        <v>2269</v>
      </c>
      <c r="E2446" t="s">
        <v>2269</v>
      </c>
      <c r="F2446">
        <v>2009</v>
      </c>
      <c r="G2446" t="s">
        <v>11985</v>
      </c>
      <c r="H2446" t="s">
        <v>11986</v>
      </c>
      <c r="I2446" t="s">
        <v>11987</v>
      </c>
      <c r="J2446" t="s">
        <v>26</v>
      </c>
      <c r="K2446" t="s">
        <v>27</v>
      </c>
      <c r="L2446" t="b">
        <v>1</v>
      </c>
      <c r="M2446" t="s">
        <v>11988</v>
      </c>
      <c r="N2446" t="str">
        <f>"573.7/74"</f>
        <v>573.7/74</v>
      </c>
      <c r="P2446" t="b">
        <v>0</v>
      </c>
      <c r="Q2446" t="b">
        <v>0</v>
      </c>
      <c r="R2446" t="str">
        <f>"9781606923399"</f>
        <v>9781606923399</v>
      </c>
      <c r="S2446" t="str">
        <f>"9781617281471"</f>
        <v>9781617281471</v>
      </c>
      <c r="T2446">
        <v>659565237</v>
      </c>
    </row>
    <row r="2447" spans="1:20" x14ac:dyDescent="0.25">
      <c r="A2447">
        <v>333506</v>
      </c>
      <c r="B2447" t="s">
        <v>11989</v>
      </c>
      <c r="D2447" t="s">
        <v>2269</v>
      </c>
      <c r="E2447" t="s">
        <v>2269</v>
      </c>
      <c r="F2447">
        <v>2009</v>
      </c>
      <c r="G2447" t="s">
        <v>9212</v>
      </c>
      <c r="H2447" t="s">
        <v>11990</v>
      </c>
      <c r="I2447" t="s">
        <v>11991</v>
      </c>
      <c r="J2447" t="s">
        <v>26</v>
      </c>
      <c r="K2447" t="s">
        <v>27</v>
      </c>
      <c r="L2447" t="b">
        <v>1</v>
      </c>
      <c r="M2447" t="s">
        <v>11992</v>
      </c>
      <c r="N2447" t="str">
        <f>"612.3"</f>
        <v>612.3</v>
      </c>
      <c r="O2447" t="s">
        <v>11993</v>
      </c>
      <c r="P2447" t="b">
        <v>0</v>
      </c>
      <c r="Q2447" t="b">
        <v>0</v>
      </c>
      <c r="R2447" t="str">
        <f>"9781607410850"</f>
        <v>9781607410850</v>
      </c>
      <c r="S2447" t="str">
        <f>"9781617281389"</f>
        <v>9781617281389</v>
      </c>
      <c r="T2447">
        <v>659561131</v>
      </c>
    </row>
    <row r="2448" spans="1:20" x14ac:dyDescent="0.25">
      <c r="A2448">
        <v>333504</v>
      </c>
      <c r="B2448" t="s">
        <v>11994</v>
      </c>
      <c r="C2448" t="s">
        <v>11995</v>
      </c>
      <c r="D2448" t="s">
        <v>2269</v>
      </c>
      <c r="E2448" t="s">
        <v>2269</v>
      </c>
      <c r="F2448">
        <v>2009</v>
      </c>
      <c r="G2448" t="s">
        <v>9212</v>
      </c>
      <c r="H2448" t="s">
        <v>11996</v>
      </c>
      <c r="I2448" t="s">
        <v>11997</v>
      </c>
      <c r="J2448" t="s">
        <v>26</v>
      </c>
      <c r="K2448" t="s">
        <v>27</v>
      </c>
      <c r="L2448" t="b">
        <v>1</v>
      </c>
      <c r="M2448" t="s">
        <v>11998</v>
      </c>
      <c r="N2448" t="str">
        <f>"612.3/99"</f>
        <v>612.3/99</v>
      </c>
      <c r="O2448" t="s">
        <v>9318</v>
      </c>
      <c r="P2448" t="b">
        <v>0</v>
      </c>
      <c r="Q2448" t="b">
        <v>0</v>
      </c>
      <c r="R2448" t="str">
        <f>"9781607416111"</f>
        <v>9781607416111</v>
      </c>
      <c r="S2448" t="str">
        <f>"9781617281457"</f>
        <v>9781617281457</v>
      </c>
      <c r="T2448">
        <v>659564045</v>
      </c>
    </row>
    <row r="2449" spans="1:20" x14ac:dyDescent="0.25">
      <c r="A2449">
        <v>333503</v>
      </c>
      <c r="B2449" t="s">
        <v>11999</v>
      </c>
      <c r="D2449" t="s">
        <v>2269</v>
      </c>
      <c r="E2449" t="s">
        <v>8996</v>
      </c>
      <c r="F2449">
        <v>2009</v>
      </c>
      <c r="G2449" t="s">
        <v>12000</v>
      </c>
      <c r="H2449" t="s">
        <v>12001</v>
      </c>
      <c r="I2449" t="s">
        <v>12002</v>
      </c>
      <c r="J2449" t="s">
        <v>26</v>
      </c>
      <c r="K2449" t="s">
        <v>27</v>
      </c>
      <c r="L2449" t="b">
        <v>1</v>
      </c>
      <c r="M2449" t="s">
        <v>12003</v>
      </c>
      <c r="N2449" t="str">
        <f>"616.85/26"</f>
        <v>616.85/26</v>
      </c>
      <c r="P2449" t="b">
        <v>0</v>
      </c>
      <c r="Q2449" t="b">
        <v>0</v>
      </c>
      <c r="R2449" t="str">
        <f>"9781606922422"</f>
        <v>9781606922422</v>
      </c>
      <c r="S2449" t="str">
        <f>"9781617281464"</f>
        <v>9781617281464</v>
      </c>
      <c r="T2449">
        <v>659560604</v>
      </c>
    </row>
    <row r="2450" spans="1:20" x14ac:dyDescent="0.25">
      <c r="A2450">
        <v>333498</v>
      </c>
      <c r="B2450" t="s">
        <v>12004</v>
      </c>
      <c r="D2450" t="s">
        <v>2269</v>
      </c>
      <c r="E2450" t="s">
        <v>2269</v>
      </c>
      <c r="F2450">
        <v>2009</v>
      </c>
      <c r="G2450" t="s">
        <v>12005</v>
      </c>
      <c r="H2450" t="s">
        <v>12006</v>
      </c>
      <c r="I2450" t="s">
        <v>12007</v>
      </c>
      <c r="J2450" t="s">
        <v>26</v>
      </c>
      <c r="K2450" t="s">
        <v>27</v>
      </c>
      <c r="L2450" t="b">
        <v>1</v>
      </c>
      <c r="M2450" t="s">
        <v>12008</v>
      </c>
      <c r="N2450" t="str">
        <f>"362.292"</f>
        <v>362.292</v>
      </c>
      <c r="O2450" t="s">
        <v>10958</v>
      </c>
      <c r="P2450" t="b">
        <v>0</v>
      </c>
      <c r="Q2450" t="b">
        <v>0</v>
      </c>
      <c r="R2450" t="str">
        <f>"9781607411604"</f>
        <v>9781607411604</v>
      </c>
      <c r="S2450" t="str">
        <f>"9781617281341"</f>
        <v>9781617281341</v>
      </c>
      <c r="T2450">
        <v>659565210</v>
      </c>
    </row>
    <row r="2451" spans="1:20" x14ac:dyDescent="0.25">
      <c r="A2451">
        <v>333497</v>
      </c>
      <c r="B2451" t="s">
        <v>12009</v>
      </c>
      <c r="C2451" t="s">
        <v>12010</v>
      </c>
      <c r="D2451" t="s">
        <v>2269</v>
      </c>
      <c r="E2451" t="s">
        <v>2269</v>
      </c>
      <c r="F2451">
        <v>2009</v>
      </c>
      <c r="G2451" t="s">
        <v>8991</v>
      </c>
      <c r="H2451" t="s">
        <v>12011</v>
      </c>
      <c r="I2451" t="s">
        <v>12012</v>
      </c>
      <c r="J2451" t="s">
        <v>26</v>
      </c>
      <c r="K2451" t="s">
        <v>27</v>
      </c>
      <c r="L2451" t="b">
        <v>1</v>
      </c>
      <c r="M2451" t="s">
        <v>12013</v>
      </c>
      <c r="N2451" t="str">
        <f>"362.196/9362"</f>
        <v>362.196/9362</v>
      </c>
      <c r="O2451" t="s">
        <v>12014</v>
      </c>
      <c r="P2451" t="b">
        <v>0</v>
      </c>
      <c r="Q2451" t="b">
        <v>0</v>
      </c>
      <c r="R2451" t="str">
        <f>"9781607414322"</f>
        <v>9781607414322</v>
      </c>
      <c r="S2451" t="str">
        <f>"9781617281365"</f>
        <v>9781617281365</v>
      </c>
      <c r="T2451">
        <v>659560941</v>
      </c>
    </row>
    <row r="2452" spans="1:20" x14ac:dyDescent="0.25">
      <c r="A2452">
        <v>333496</v>
      </c>
      <c r="B2452" t="s">
        <v>12015</v>
      </c>
      <c r="D2452" t="s">
        <v>2269</v>
      </c>
      <c r="E2452" t="s">
        <v>2269</v>
      </c>
      <c r="F2452">
        <v>2009</v>
      </c>
      <c r="G2452" t="s">
        <v>8580</v>
      </c>
      <c r="H2452" t="s">
        <v>12016</v>
      </c>
      <c r="I2452" t="s">
        <v>12017</v>
      </c>
      <c r="J2452" t="s">
        <v>26</v>
      </c>
      <c r="K2452" t="s">
        <v>27</v>
      </c>
      <c r="L2452" t="b">
        <v>1</v>
      </c>
      <c r="M2452" t="s">
        <v>12018</v>
      </c>
      <c r="N2452" t="str">
        <f>"615/.792"</f>
        <v>615/.792</v>
      </c>
      <c r="P2452" t="b">
        <v>0</v>
      </c>
      <c r="Q2452" t="b">
        <v>0</v>
      </c>
      <c r="R2452" t="str">
        <f>"9781606925188"</f>
        <v>9781606925188</v>
      </c>
      <c r="S2452" t="str">
        <f>"9781617281372"</f>
        <v>9781617281372</v>
      </c>
      <c r="T2452">
        <v>659561210</v>
      </c>
    </row>
    <row r="2453" spans="1:20" x14ac:dyDescent="0.25">
      <c r="A2453">
        <v>333495</v>
      </c>
      <c r="B2453" t="s">
        <v>12019</v>
      </c>
      <c r="D2453" t="s">
        <v>2269</v>
      </c>
      <c r="E2453" t="s">
        <v>2269</v>
      </c>
      <c r="F2453">
        <v>2009</v>
      </c>
      <c r="G2453" t="s">
        <v>400</v>
      </c>
      <c r="H2453" t="s">
        <v>12020</v>
      </c>
      <c r="I2453" t="s">
        <v>12021</v>
      </c>
      <c r="J2453" t="s">
        <v>26</v>
      </c>
      <c r="K2453" t="s">
        <v>27</v>
      </c>
      <c r="L2453" t="b">
        <v>1</v>
      </c>
      <c r="M2453" t="s">
        <v>12022</v>
      </c>
      <c r="N2453" t="str">
        <f>"628/.746"</f>
        <v>628/.746</v>
      </c>
      <c r="O2453" t="s">
        <v>11534</v>
      </c>
      <c r="P2453" t="b">
        <v>0</v>
      </c>
      <c r="Q2453" t="b">
        <v>0</v>
      </c>
      <c r="R2453" t="str">
        <f>"9781607413059"</f>
        <v>9781607413059</v>
      </c>
      <c r="S2453" t="str">
        <f>"9781617281327"</f>
        <v>9781617281327</v>
      </c>
      <c r="T2453">
        <v>659564595</v>
      </c>
    </row>
    <row r="2454" spans="1:20" x14ac:dyDescent="0.25">
      <c r="A2454">
        <v>333490</v>
      </c>
      <c r="B2454" t="s">
        <v>12023</v>
      </c>
      <c r="D2454" t="s">
        <v>2269</v>
      </c>
      <c r="E2454" t="s">
        <v>2269</v>
      </c>
      <c r="F2454">
        <v>2009</v>
      </c>
      <c r="G2454" t="s">
        <v>45</v>
      </c>
      <c r="H2454" t="s">
        <v>12024</v>
      </c>
      <c r="I2454" t="s">
        <v>12025</v>
      </c>
      <c r="J2454" t="s">
        <v>26</v>
      </c>
      <c r="K2454" t="s">
        <v>27</v>
      </c>
      <c r="L2454" t="b">
        <v>1</v>
      </c>
      <c r="M2454" t="s">
        <v>12026</v>
      </c>
      <c r="N2454" t="str">
        <f>"616.8/4912"</f>
        <v>616.8/4912</v>
      </c>
      <c r="P2454" t="b">
        <v>0</v>
      </c>
      <c r="Q2454" t="b">
        <v>0</v>
      </c>
      <c r="R2454" t="str">
        <f>"9781604562989"</f>
        <v>9781604562989</v>
      </c>
      <c r="S2454" t="str">
        <f>"9781617281235"</f>
        <v>9781617281235</v>
      </c>
      <c r="T2454">
        <v>659560695</v>
      </c>
    </row>
    <row r="2455" spans="1:20" x14ac:dyDescent="0.25">
      <c r="A2455">
        <v>333488</v>
      </c>
      <c r="B2455" t="s">
        <v>12027</v>
      </c>
      <c r="D2455" t="s">
        <v>2269</v>
      </c>
      <c r="E2455" t="s">
        <v>2269</v>
      </c>
      <c r="F2455">
        <v>2009</v>
      </c>
      <c r="G2455" t="s">
        <v>12028</v>
      </c>
      <c r="H2455" t="s">
        <v>12029</v>
      </c>
      <c r="I2455" t="s">
        <v>12030</v>
      </c>
      <c r="J2455" t="s">
        <v>26</v>
      </c>
      <c r="K2455" t="s">
        <v>27</v>
      </c>
      <c r="L2455" t="b">
        <v>1</v>
      </c>
      <c r="M2455" t="s">
        <v>11800</v>
      </c>
      <c r="N2455" t="str">
        <f>"720.28/8"</f>
        <v>720.28/8</v>
      </c>
      <c r="P2455" t="b">
        <v>0</v>
      </c>
      <c r="Q2455" t="b">
        <v>0</v>
      </c>
      <c r="R2455" t="str">
        <f>"9781607411710"</f>
        <v>9781607411710</v>
      </c>
      <c r="S2455" t="str">
        <f>"9781617281273"</f>
        <v>9781617281273</v>
      </c>
      <c r="T2455">
        <v>659558322</v>
      </c>
    </row>
    <row r="2456" spans="1:20" x14ac:dyDescent="0.25">
      <c r="A2456">
        <v>333484</v>
      </c>
      <c r="B2456" t="s">
        <v>12031</v>
      </c>
      <c r="D2456" t="s">
        <v>2269</v>
      </c>
      <c r="E2456" t="s">
        <v>2269</v>
      </c>
      <c r="F2456">
        <v>2009</v>
      </c>
      <c r="G2456" t="s">
        <v>12032</v>
      </c>
      <c r="H2456" t="s">
        <v>12033</v>
      </c>
      <c r="I2456" t="s">
        <v>12034</v>
      </c>
      <c r="J2456" t="s">
        <v>26</v>
      </c>
      <c r="K2456" t="s">
        <v>27</v>
      </c>
      <c r="L2456" t="b">
        <v>1</v>
      </c>
      <c r="M2456" t="s">
        <v>12035</v>
      </c>
      <c r="N2456" t="str">
        <f>"611/.0181"</f>
        <v>611/.0181</v>
      </c>
      <c r="P2456" t="b">
        <v>0</v>
      </c>
      <c r="Q2456" t="b">
        <v>0</v>
      </c>
      <c r="R2456" t="str">
        <f>"9781606923788"</f>
        <v>9781606923788</v>
      </c>
      <c r="S2456" t="str">
        <f>"9781617280207"</f>
        <v>9781617280207</v>
      </c>
      <c r="T2456">
        <v>659560909</v>
      </c>
    </row>
    <row r="2457" spans="1:20" x14ac:dyDescent="0.25">
      <c r="A2457">
        <v>333483</v>
      </c>
      <c r="B2457" t="s">
        <v>12036</v>
      </c>
      <c r="C2457" t="s">
        <v>7373</v>
      </c>
      <c r="D2457" t="s">
        <v>2269</v>
      </c>
      <c r="E2457" t="s">
        <v>2269</v>
      </c>
      <c r="F2457">
        <v>2009</v>
      </c>
      <c r="G2457" t="s">
        <v>12037</v>
      </c>
      <c r="H2457" t="s">
        <v>12038</v>
      </c>
      <c r="I2457" t="s">
        <v>12039</v>
      </c>
      <c r="J2457" t="s">
        <v>26</v>
      </c>
      <c r="K2457" t="s">
        <v>27</v>
      </c>
      <c r="L2457" t="b">
        <v>1</v>
      </c>
      <c r="M2457" t="s">
        <v>12040</v>
      </c>
      <c r="N2457" t="str">
        <f>"618.97"</f>
        <v>618.97</v>
      </c>
      <c r="P2457" t="b">
        <v>0</v>
      </c>
      <c r="Q2457" t="b">
        <v>0</v>
      </c>
      <c r="R2457" t="str">
        <f>"9781604565751"</f>
        <v>9781604565751</v>
      </c>
      <c r="S2457" t="str">
        <f>"9781617280238"</f>
        <v>9781617280238</v>
      </c>
      <c r="T2457">
        <v>663900507</v>
      </c>
    </row>
    <row r="2458" spans="1:20" x14ac:dyDescent="0.25">
      <c r="A2458">
        <v>333482</v>
      </c>
      <c r="B2458" t="s">
        <v>12041</v>
      </c>
      <c r="C2458" t="s">
        <v>7373</v>
      </c>
      <c r="D2458" t="s">
        <v>2269</v>
      </c>
      <c r="E2458" t="s">
        <v>2269</v>
      </c>
      <c r="F2458">
        <v>2009</v>
      </c>
      <c r="G2458" t="s">
        <v>12042</v>
      </c>
      <c r="H2458" t="s">
        <v>12043</v>
      </c>
      <c r="I2458" t="s">
        <v>12044</v>
      </c>
      <c r="J2458" t="s">
        <v>26</v>
      </c>
      <c r="K2458" t="s">
        <v>27</v>
      </c>
      <c r="L2458" t="b">
        <v>1</v>
      </c>
      <c r="M2458" t="s">
        <v>12045</v>
      </c>
      <c r="N2458" t="str">
        <f>"624.1/5132"</f>
        <v>624.1/5132</v>
      </c>
      <c r="P2458" t="b">
        <v>0</v>
      </c>
      <c r="Q2458" t="b">
        <v>0</v>
      </c>
      <c r="R2458" t="str">
        <f>"9781606924594"</f>
        <v>9781606924594</v>
      </c>
      <c r="S2458" t="str">
        <f>"9781617280177"</f>
        <v>9781617280177</v>
      </c>
      <c r="T2458">
        <v>659560704</v>
      </c>
    </row>
    <row r="2459" spans="1:20" x14ac:dyDescent="0.25">
      <c r="A2459">
        <v>333481</v>
      </c>
      <c r="B2459" t="s">
        <v>12046</v>
      </c>
      <c r="D2459" t="s">
        <v>2269</v>
      </c>
      <c r="E2459" t="s">
        <v>2269</v>
      </c>
      <c r="F2459">
        <v>2009</v>
      </c>
      <c r="G2459" t="s">
        <v>303</v>
      </c>
      <c r="H2459" t="s">
        <v>12047</v>
      </c>
      <c r="I2459" t="s">
        <v>12048</v>
      </c>
      <c r="J2459" t="s">
        <v>26</v>
      </c>
      <c r="K2459" t="s">
        <v>27</v>
      </c>
      <c r="L2459" t="b">
        <v>1</v>
      </c>
      <c r="M2459" t="s">
        <v>12049</v>
      </c>
      <c r="N2459" t="str">
        <f>"668.2"</f>
        <v>668.2</v>
      </c>
      <c r="P2459" t="b">
        <v>0</v>
      </c>
      <c r="Q2459" t="b">
        <v>0</v>
      </c>
      <c r="R2459" t="str">
        <f>"9781606923924"</f>
        <v>9781606923924</v>
      </c>
      <c r="S2459" t="str">
        <f>"9781617280153"</f>
        <v>9781617280153</v>
      </c>
      <c r="T2459">
        <v>659563772</v>
      </c>
    </row>
    <row r="2460" spans="1:20" x14ac:dyDescent="0.25">
      <c r="A2460">
        <v>333475</v>
      </c>
      <c r="B2460" t="s">
        <v>12050</v>
      </c>
      <c r="D2460" t="s">
        <v>2269</v>
      </c>
      <c r="E2460" t="s">
        <v>2269</v>
      </c>
      <c r="F2460">
        <v>2009</v>
      </c>
      <c r="G2460" t="s">
        <v>8580</v>
      </c>
      <c r="H2460" t="s">
        <v>12051</v>
      </c>
      <c r="I2460" t="s">
        <v>12052</v>
      </c>
      <c r="J2460" t="s">
        <v>26</v>
      </c>
      <c r="K2460" t="s">
        <v>27</v>
      </c>
      <c r="L2460" t="b">
        <v>1</v>
      </c>
      <c r="M2460" t="s">
        <v>12053</v>
      </c>
      <c r="N2460" t="str">
        <f>"615/.718"</f>
        <v>615/.718</v>
      </c>
      <c r="P2460" t="b">
        <v>0</v>
      </c>
      <c r="Q2460" t="b">
        <v>0</v>
      </c>
      <c r="R2460" t="str">
        <f>"9781606921036"</f>
        <v>9781606921036</v>
      </c>
      <c r="S2460" t="str">
        <f>"9781608763450"</f>
        <v>9781608763450</v>
      </c>
      <c r="T2460">
        <v>659560948</v>
      </c>
    </row>
    <row r="2461" spans="1:20" x14ac:dyDescent="0.25">
      <c r="A2461">
        <v>333474</v>
      </c>
      <c r="B2461" t="s">
        <v>12054</v>
      </c>
      <c r="D2461" t="s">
        <v>2269</v>
      </c>
      <c r="E2461" t="s">
        <v>2269</v>
      </c>
      <c r="F2461">
        <v>2008</v>
      </c>
      <c r="G2461" t="s">
        <v>5739</v>
      </c>
      <c r="H2461" t="s">
        <v>12055</v>
      </c>
      <c r="I2461" t="s">
        <v>12056</v>
      </c>
      <c r="J2461" t="s">
        <v>26</v>
      </c>
      <c r="K2461" t="s">
        <v>27</v>
      </c>
      <c r="L2461" t="b">
        <v>1</v>
      </c>
      <c r="M2461" t="s">
        <v>12057</v>
      </c>
      <c r="N2461" t="str">
        <f>"664/.07"</f>
        <v>664/.07</v>
      </c>
      <c r="P2461" t="b">
        <v>0</v>
      </c>
      <c r="Q2461" t="b">
        <v>0</v>
      </c>
      <c r="R2461" t="str">
        <f>"9781604563030"</f>
        <v>9781604563030</v>
      </c>
      <c r="S2461" t="str">
        <f>"9781608763443"</f>
        <v>9781608763443</v>
      </c>
      <c r="T2461">
        <v>659559276</v>
      </c>
    </row>
    <row r="2462" spans="1:20" x14ac:dyDescent="0.25">
      <c r="A2462">
        <v>332760</v>
      </c>
      <c r="B2462" t="s">
        <v>12058</v>
      </c>
      <c r="D2462" t="s">
        <v>5731</v>
      </c>
      <c r="E2462" t="s">
        <v>6240</v>
      </c>
      <c r="F2462">
        <v>2010</v>
      </c>
      <c r="G2462" t="s">
        <v>3873</v>
      </c>
      <c r="H2462" t="s">
        <v>12059</v>
      </c>
      <c r="I2462" t="s">
        <v>12060</v>
      </c>
      <c r="J2462" t="s">
        <v>26</v>
      </c>
      <c r="K2462" t="s">
        <v>86</v>
      </c>
      <c r="L2462" t="b">
        <v>1</v>
      </c>
      <c r="M2462" t="s">
        <v>12061</v>
      </c>
      <c r="N2462" t="str">
        <f>"982.06"</f>
        <v>982.06</v>
      </c>
      <c r="O2462" t="s">
        <v>12062</v>
      </c>
      <c r="P2462" t="b">
        <v>0</v>
      </c>
      <c r="R2462" t="str">
        <f>"9780810858398"</f>
        <v>9780810858398</v>
      </c>
      <c r="S2462" t="str">
        <f>"9780810873742"</f>
        <v>9780810873742</v>
      </c>
      <c r="T2462">
        <v>659560864</v>
      </c>
    </row>
    <row r="2463" spans="1:20" x14ac:dyDescent="0.25">
      <c r="A2463">
        <v>332759</v>
      </c>
      <c r="B2463" t="s">
        <v>12063</v>
      </c>
      <c r="D2463" t="s">
        <v>5731</v>
      </c>
      <c r="E2463" t="s">
        <v>6240</v>
      </c>
      <c r="F2463">
        <v>2010</v>
      </c>
      <c r="G2463" t="s">
        <v>12064</v>
      </c>
      <c r="H2463" t="s">
        <v>12065</v>
      </c>
      <c r="I2463" t="s">
        <v>12066</v>
      </c>
      <c r="J2463" t="s">
        <v>26</v>
      </c>
      <c r="K2463" t="s">
        <v>86</v>
      </c>
      <c r="L2463" t="b">
        <v>1</v>
      </c>
      <c r="M2463" t="s">
        <v>12067</v>
      </c>
      <c r="N2463" t="str">
        <f>"967.51003"</f>
        <v>967.51003</v>
      </c>
      <c r="O2463" t="s">
        <v>10537</v>
      </c>
      <c r="P2463" t="b">
        <v>0</v>
      </c>
      <c r="R2463" t="str">
        <f>"9780810857612"</f>
        <v>9780810857612</v>
      </c>
      <c r="S2463" t="str">
        <f>"9780810863255"</f>
        <v>9780810863255</v>
      </c>
      <c r="T2463">
        <v>704516610</v>
      </c>
    </row>
    <row r="2464" spans="1:20" x14ac:dyDescent="0.25">
      <c r="A2464">
        <v>332724</v>
      </c>
      <c r="B2464" t="s">
        <v>12068</v>
      </c>
      <c r="D2464" t="s">
        <v>12069</v>
      </c>
      <c r="E2464" t="s">
        <v>12070</v>
      </c>
      <c r="F2464">
        <v>2010</v>
      </c>
      <c r="G2464" t="s">
        <v>12071</v>
      </c>
      <c r="H2464" t="s">
        <v>12072</v>
      </c>
      <c r="I2464" t="s">
        <v>12073</v>
      </c>
      <c r="J2464" t="s">
        <v>26</v>
      </c>
      <c r="K2464" t="s">
        <v>27</v>
      </c>
      <c r="L2464" t="b">
        <v>1</v>
      </c>
      <c r="M2464" t="s">
        <v>12074</v>
      </c>
      <c r="N2464" t="str">
        <f>"510.76"</f>
        <v>510.76</v>
      </c>
      <c r="P2464" t="b">
        <v>0</v>
      </c>
      <c r="R2464" t="str">
        <f>"9781607870500"</f>
        <v>9781607870500</v>
      </c>
      <c r="S2464" t="str">
        <f>"9781607876854"</f>
        <v>9781607876854</v>
      </c>
      <c r="T2464">
        <v>658793362</v>
      </c>
    </row>
    <row r="2465" spans="1:20" x14ac:dyDescent="0.25">
      <c r="A2465">
        <v>332717</v>
      </c>
      <c r="B2465" t="s">
        <v>12075</v>
      </c>
      <c r="D2465" t="s">
        <v>12069</v>
      </c>
      <c r="E2465" t="s">
        <v>12070</v>
      </c>
      <c r="F2465">
        <v>2010</v>
      </c>
      <c r="G2465" t="s">
        <v>12071</v>
      </c>
      <c r="H2465" t="s">
        <v>12072</v>
      </c>
      <c r="I2465" t="s">
        <v>12076</v>
      </c>
      <c r="J2465" t="s">
        <v>26</v>
      </c>
      <c r="K2465" t="s">
        <v>27</v>
      </c>
      <c r="L2465" t="b">
        <v>1</v>
      </c>
      <c r="M2465" t="s">
        <v>12074</v>
      </c>
      <c r="N2465" t="str">
        <f>"510.76"</f>
        <v>510.76</v>
      </c>
      <c r="P2465" t="b">
        <v>0</v>
      </c>
      <c r="R2465" t="str">
        <f>"9781607870517"</f>
        <v>9781607870517</v>
      </c>
      <c r="S2465" t="str">
        <f>"9781607876861"</f>
        <v>9781607876861</v>
      </c>
      <c r="T2465">
        <v>665067562</v>
      </c>
    </row>
    <row r="2466" spans="1:20" x14ac:dyDescent="0.25">
      <c r="A2466">
        <v>332711</v>
      </c>
      <c r="B2466" t="s">
        <v>12077</v>
      </c>
      <c r="C2466" t="s">
        <v>12078</v>
      </c>
      <c r="D2466" t="s">
        <v>10883</v>
      </c>
      <c r="E2466" t="s">
        <v>10884</v>
      </c>
      <c r="F2466">
        <v>2009</v>
      </c>
      <c r="G2466" t="s">
        <v>12079</v>
      </c>
      <c r="H2466" t="s">
        <v>12080</v>
      </c>
      <c r="I2466" t="s">
        <v>12081</v>
      </c>
      <c r="J2466" t="s">
        <v>26</v>
      </c>
      <c r="K2466" t="s">
        <v>27</v>
      </c>
      <c r="L2466" t="b">
        <v>1</v>
      </c>
      <c r="M2466" t="s">
        <v>12082</v>
      </c>
      <c r="N2466" t="str">
        <f>"616.85/223"</f>
        <v>616.85/223</v>
      </c>
      <c r="P2466" t="b">
        <v>0</v>
      </c>
      <c r="R2466" t="str">
        <f>"9781934509272"</f>
        <v>9781934509272</v>
      </c>
      <c r="S2466" t="str">
        <f>"9781605572598"</f>
        <v>9781605572598</v>
      </c>
      <c r="T2466">
        <v>659836485</v>
      </c>
    </row>
    <row r="2467" spans="1:20" x14ac:dyDescent="0.25">
      <c r="A2467">
        <v>331766</v>
      </c>
      <c r="B2467" t="s">
        <v>12083</v>
      </c>
      <c r="C2467" t="s">
        <v>12084</v>
      </c>
      <c r="D2467" t="s">
        <v>1364</v>
      </c>
      <c r="E2467" t="s">
        <v>1507</v>
      </c>
      <c r="F2467">
        <v>2007</v>
      </c>
      <c r="G2467" t="s">
        <v>182</v>
      </c>
      <c r="H2467" t="s">
        <v>12085</v>
      </c>
      <c r="I2467" t="s">
        <v>7789</v>
      </c>
      <c r="J2467" t="s">
        <v>7790</v>
      </c>
      <c r="K2467" t="s">
        <v>27</v>
      </c>
      <c r="L2467" t="b">
        <v>1</v>
      </c>
      <c r="M2467" t="s">
        <v>12086</v>
      </c>
      <c r="N2467" t="str">
        <f>"943.3"</f>
        <v>943.3</v>
      </c>
      <c r="O2467" t="s">
        <v>12087</v>
      </c>
      <c r="P2467" t="b">
        <v>0</v>
      </c>
      <c r="R2467" t="str">
        <f>"9783598251269"</f>
        <v>9783598251269</v>
      </c>
      <c r="S2467" t="str">
        <f>"9783110232356"</f>
        <v>9783110232356</v>
      </c>
      <c r="T2467">
        <v>664783012</v>
      </c>
    </row>
    <row r="2468" spans="1:20" x14ac:dyDescent="0.25">
      <c r="A2468">
        <v>330886</v>
      </c>
      <c r="B2468" t="s">
        <v>12088</v>
      </c>
      <c r="C2468" t="s">
        <v>12089</v>
      </c>
      <c r="D2468" t="s">
        <v>12090</v>
      </c>
      <c r="E2468" t="s">
        <v>12091</v>
      </c>
      <c r="F2468">
        <v>2010</v>
      </c>
      <c r="G2468" t="s">
        <v>12092</v>
      </c>
      <c r="H2468" t="s">
        <v>12093</v>
      </c>
      <c r="I2468" t="s">
        <v>12094</v>
      </c>
      <c r="J2468" t="s">
        <v>26</v>
      </c>
      <c r="K2468" t="s">
        <v>27</v>
      </c>
      <c r="L2468" t="b">
        <v>1</v>
      </c>
      <c r="M2468" t="s">
        <v>12095</v>
      </c>
      <c r="N2468" t="str">
        <f>"650.1/3"</f>
        <v>650.1/3</v>
      </c>
      <c r="P2468" t="b">
        <v>0</v>
      </c>
      <c r="R2468" t="str">
        <f>"9781605095226"</f>
        <v>9781605095226</v>
      </c>
      <c r="S2468" t="str">
        <f>"9781605096070"</f>
        <v>9781605096070</v>
      </c>
      <c r="T2468">
        <v>658222655</v>
      </c>
    </row>
    <row r="2469" spans="1:20" x14ac:dyDescent="0.25">
      <c r="A2469">
        <v>329573</v>
      </c>
      <c r="B2469" t="s">
        <v>12096</v>
      </c>
      <c r="D2469" t="s">
        <v>717</v>
      </c>
      <c r="E2469" t="s">
        <v>718</v>
      </c>
      <c r="F2469">
        <v>2007</v>
      </c>
      <c r="G2469" t="s">
        <v>12097</v>
      </c>
      <c r="H2469" t="s">
        <v>12098</v>
      </c>
      <c r="I2469" t="s">
        <v>12099</v>
      </c>
      <c r="J2469" t="s">
        <v>26</v>
      </c>
      <c r="K2469" t="s">
        <v>86</v>
      </c>
      <c r="L2469" t="b">
        <v>1</v>
      </c>
      <c r="M2469" t="s">
        <v>12100</v>
      </c>
      <c r="N2469" t="str">
        <f>"382.091724"</f>
        <v>382.091724</v>
      </c>
      <c r="P2469" t="b">
        <v>0</v>
      </c>
      <c r="R2469" t="str">
        <f>"9780745325859"</f>
        <v>9780745325859</v>
      </c>
      <c r="S2469" t="str">
        <f>"9781849643344"</f>
        <v>9781849643344</v>
      </c>
      <c r="T2469">
        <v>654106778</v>
      </c>
    </row>
    <row r="2470" spans="1:20" x14ac:dyDescent="0.25">
      <c r="A2470">
        <v>327776</v>
      </c>
      <c r="B2470" t="s">
        <v>12101</v>
      </c>
      <c r="D2470" t="s">
        <v>8514</v>
      </c>
      <c r="E2470" t="s">
        <v>8515</v>
      </c>
      <c r="F2470">
        <v>2009</v>
      </c>
      <c r="G2470" t="s">
        <v>12102</v>
      </c>
      <c r="H2470" t="s">
        <v>12103</v>
      </c>
      <c r="I2470" t="s">
        <v>12104</v>
      </c>
      <c r="J2470" t="s">
        <v>26</v>
      </c>
      <c r="K2470" t="s">
        <v>27</v>
      </c>
      <c r="L2470" t="b">
        <v>1</v>
      </c>
      <c r="M2470" t="s">
        <v>12105</v>
      </c>
      <c r="N2470" t="str">
        <f>"530.11"</f>
        <v>530.11</v>
      </c>
      <c r="O2470" t="s">
        <v>12101</v>
      </c>
      <c r="P2470" t="b">
        <v>0</v>
      </c>
      <c r="Q2470" t="b">
        <v>0</v>
      </c>
      <c r="R2470" t="str">
        <f>"9780986492600"</f>
        <v>9780986492600</v>
      </c>
      <c r="S2470" t="str">
        <f>"9781441660329"</f>
        <v>9781441660329</v>
      </c>
      <c r="T2470">
        <v>656841485</v>
      </c>
    </row>
    <row r="2471" spans="1:20" x14ac:dyDescent="0.25">
      <c r="A2471">
        <v>327775</v>
      </c>
      <c r="B2471" t="s">
        <v>12106</v>
      </c>
      <c r="D2471" t="s">
        <v>8514</v>
      </c>
      <c r="E2471" t="s">
        <v>8515</v>
      </c>
      <c r="F2471">
        <v>2010</v>
      </c>
      <c r="G2471" t="s">
        <v>9593</v>
      </c>
      <c r="H2471" t="s">
        <v>12107</v>
      </c>
      <c r="I2471" t="s">
        <v>12108</v>
      </c>
      <c r="J2471" t="s">
        <v>26</v>
      </c>
      <c r="K2471" t="s">
        <v>27</v>
      </c>
      <c r="L2471" t="b">
        <v>1</v>
      </c>
      <c r="M2471" t="s">
        <v>11173</v>
      </c>
      <c r="N2471" t="str">
        <f>"537/.078"</f>
        <v>537/.078</v>
      </c>
      <c r="P2471" t="b">
        <v>0</v>
      </c>
      <c r="Q2471" t="b">
        <v>0</v>
      </c>
      <c r="R2471" t="str">
        <f>"9780986492631"</f>
        <v>9780986492631</v>
      </c>
      <c r="S2471" t="str">
        <f>"9781441660336"</f>
        <v>9781441660336</v>
      </c>
      <c r="T2471">
        <v>656846756</v>
      </c>
    </row>
    <row r="2472" spans="1:20" x14ac:dyDescent="0.25">
      <c r="A2472">
        <v>327773</v>
      </c>
      <c r="B2472" t="s">
        <v>11168</v>
      </c>
      <c r="D2472" t="s">
        <v>8514</v>
      </c>
      <c r="E2472" t="s">
        <v>8515</v>
      </c>
      <c r="F2472">
        <v>2008</v>
      </c>
      <c r="G2472" t="s">
        <v>11170</v>
      </c>
      <c r="H2472" t="s">
        <v>12109</v>
      </c>
      <c r="I2472" t="s">
        <v>11172</v>
      </c>
      <c r="J2472" t="s">
        <v>26</v>
      </c>
      <c r="K2472" t="s">
        <v>27</v>
      </c>
      <c r="L2472" t="b">
        <v>1</v>
      </c>
      <c r="M2472" t="s">
        <v>11173</v>
      </c>
      <c r="N2472" t="str">
        <f>"531/.14"</f>
        <v>531/.14</v>
      </c>
      <c r="P2472" t="b">
        <v>0</v>
      </c>
      <c r="Q2472" t="b">
        <v>0</v>
      </c>
      <c r="R2472" t="str">
        <f>"9780973291162"</f>
        <v>9780973291162</v>
      </c>
      <c r="S2472" t="str">
        <f>"9781441660343"</f>
        <v>9781441660343</v>
      </c>
      <c r="T2472">
        <v>656833208</v>
      </c>
    </row>
    <row r="2473" spans="1:20" x14ac:dyDescent="0.25">
      <c r="A2473">
        <v>326577</v>
      </c>
      <c r="B2473" t="s">
        <v>12110</v>
      </c>
      <c r="C2473" t="s">
        <v>12111</v>
      </c>
      <c r="D2473" t="s">
        <v>8514</v>
      </c>
      <c r="E2473" t="s">
        <v>8515</v>
      </c>
      <c r="F2473">
        <v>2010</v>
      </c>
      <c r="G2473" t="s">
        <v>12112</v>
      </c>
      <c r="H2473" t="s">
        <v>12113</v>
      </c>
      <c r="I2473" t="s">
        <v>12114</v>
      </c>
      <c r="J2473" t="s">
        <v>26</v>
      </c>
      <c r="K2473" t="s">
        <v>27</v>
      </c>
      <c r="L2473" t="b">
        <v>1</v>
      </c>
      <c r="M2473" t="s">
        <v>12115</v>
      </c>
      <c r="N2473" t="str">
        <f>"523.1"</f>
        <v>523.1</v>
      </c>
      <c r="P2473" t="b">
        <v>0</v>
      </c>
      <c r="Q2473" t="b">
        <v>0</v>
      </c>
      <c r="R2473" t="str">
        <f>"9780986492624"</f>
        <v>9780986492624</v>
      </c>
      <c r="S2473" t="str">
        <f>"9781441658135"</f>
        <v>9781441658135</v>
      </c>
      <c r="T2473">
        <v>650342947</v>
      </c>
    </row>
    <row r="2474" spans="1:20" x14ac:dyDescent="0.25">
      <c r="A2474">
        <v>324633</v>
      </c>
      <c r="B2474" t="s">
        <v>12116</v>
      </c>
      <c r="D2474" t="s">
        <v>226</v>
      </c>
      <c r="E2474" t="s">
        <v>226</v>
      </c>
      <c r="F2474">
        <v>2005</v>
      </c>
      <c r="G2474" t="s">
        <v>2203</v>
      </c>
      <c r="H2474" t="s">
        <v>12117</v>
      </c>
      <c r="I2474" t="s">
        <v>12118</v>
      </c>
      <c r="J2474" t="s">
        <v>26</v>
      </c>
      <c r="K2474" t="s">
        <v>27</v>
      </c>
      <c r="L2474" t="b">
        <v>1</v>
      </c>
      <c r="M2474" t="s">
        <v>12119</v>
      </c>
      <c r="N2474" t="str">
        <f>"813/.54"</f>
        <v>813/.54</v>
      </c>
      <c r="P2474" t="b">
        <v>1</v>
      </c>
      <c r="Q2474" t="b">
        <v>0</v>
      </c>
      <c r="R2474" t="str">
        <f>"9780226757001"</f>
        <v>9780226757001</v>
      </c>
      <c r="S2474" t="str">
        <f>"9780226757018"</f>
        <v>9780226757018</v>
      </c>
      <c r="T2474">
        <v>646068366</v>
      </c>
    </row>
    <row r="2475" spans="1:20" x14ac:dyDescent="0.25">
      <c r="A2475">
        <v>322924</v>
      </c>
      <c r="B2475" t="s">
        <v>12120</v>
      </c>
      <c r="D2475" t="s">
        <v>1364</v>
      </c>
      <c r="E2475" t="s">
        <v>1364</v>
      </c>
      <c r="F2475">
        <v>2010</v>
      </c>
      <c r="G2475" t="s">
        <v>12121</v>
      </c>
      <c r="H2475" t="s">
        <v>12122</v>
      </c>
      <c r="I2475" t="s">
        <v>12123</v>
      </c>
      <c r="J2475" t="s">
        <v>26</v>
      </c>
      <c r="K2475" t="s">
        <v>27</v>
      </c>
      <c r="L2475" t="b">
        <v>1</v>
      </c>
      <c r="M2475" t="s">
        <v>12124</v>
      </c>
      <c r="N2475" t="str">
        <f>"801/.95/0902"</f>
        <v>801/.95/0902</v>
      </c>
      <c r="O2475" t="s">
        <v>12125</v>
      </c>
      <c r="P2475" t="b">
        <v>0</v>
      </c>
      <c r="R2475" t="str">
        <f>"9783110222463"</f>
        <v>9783110222463</v>
      </c>
      <c r="S2475" t="str">
        <f>"9783110222470"</f>
        <v>9783110222470</v>
      </c>
      <c r="T2475">
        <v>646068503</v>
      </c>
    </row>
    <row r="2476" spans="1:20" x14ac:dyDescent="0.25">
      <c r="A2476">
        <v>322695</v>
      </c>
      <c r="B2476" t="s">
        <v>12126</v>
      </c>
      <c r="C2476" t="s">
        <v>12127</v>
      </c>
      <c r="D2476" t="s">
        <v>226</v>
      </c>
      <c r="E2476" t="s">
        <v>226</v>
      </c>
      <c r="F2476">
        <v>2003</v>
      </c>
      <c r="G2476" t="s">
        <v>197</v>
      </c>
      <c r="H2476" t="s">
        <v>12128</v>
      </c>
      <c r="J2476" t="s">
        <v>26</v>
      </c>
      <c r="K2476" t="s">
        <v>27</v>
      </c>
      <c r="L2476" t="b">
        <v>1</v>
      </c>
      <c r="M2476" t="s">
        <v>12129</v>
      </c>
      <c r="N2476" t="str">
        <f>"831/.6"</f>
        <v>831/.6</v>
      </c>
      <c r="P2476" t="b">
        <v>0</v>
      </c>
      <c r="Q2476" t="b">
        <v>0</v>
      </c>
      <c r="R2476" t="str">
        <f>"9780226841946"</f>
        <v>9780226841946</v>
      </c>
      <c r="S2476" t="str">
        <f>"9780226841953"</f>
        <v>9780226841953</v>
      </c>
      <c r="T2476">
        <v>642206247</v>
      </c>
    </row>
    <row r="2477" spans="1:20" x14ac:dyDescent="0.25">
      <c r="A2477">
        <v>322692</v>
      </c>
      <c r="B2477" t="s">
        <v>12130</v>
      </c>
      <c r="C2477" t="s">
        <v>12131</v>
      </c>
      <c r="D2477" t="s">
        <v>226</v>
      </c>
      <c r="E2477" t="s">
        <v>226</v>
      </c>
      <c r="F2477">
        <v>2010</v>
      </c>
      <c r="G2477" t="s">
        <v>197</v>
      </c>
      <c r="H2477" t="s">
        <v>12132</v>
      </c>
      <c r="I2477" t="s">
        <v>12133</v>
      </c>
      <c r="J2477" t="s">
        <v>26</v>
      </c>
      <c r="K2477" t="s">
        <v>27</v>
      </c>
      <c r="L2477" t="b">
        <v>1</v>
      </c>
      <c r="M2477" t="s">
        <v>12134</v>
      </c>
      <c r="N2477" t="str">
        <f>"808.3"</f>
        <v>808.3</v>
      </c>
      <c r="P2477" t="b">
        <v>0</v>
      </c>
      <c r="Q2477" t="b">
        <v>0</v>
      </c>
      <c r="R2477" t="str">
        <f>"9780226771540"</f>
        <v>9780226771540</v>
      </c>
      <c r="S2477" t="str">
        <f>"9780226771557"</f>
        <v>9780226771557</v>
      </c>
      <c r="T2477">
        <v>642208332</v>
      </c>
    </row>
    <row r="2478" spans="1:20" x14ac:dyDescent="0.25">
      <c r="A2478">
        <v>321645</v>
      </c>
      <c r="B2478" t="s">
        <v>12135</v>
      </c>
      <c r="D2478" t="s">
        <v>203</v>
      </c>
      <c r="E2478" t="s">
        <v>1109</v>
      </c>
      <c r="F2478">
        <v>2010</v>
      </c>
      <c r="G2478" t="s">
        <v>1110</v>
      </c>
      <c r="H2478" t="s">
        <v>12136</v>
      </c>
      <c r="I2478" t="s">
        <v>12137</v>
      </c>
      <c r="J2478" t="s">
        <v>26</v>
      </c>
      <c r="K2478" t="s">
        <v>86</v>
      </c>
      <c r="L2478" t="b">
        <v>1</v>
      </c>
      <c r="M2478" t="s">
        <v>12138</v>
      </c>
      <c r="N2478" t="str">
        <f>"616.89"</f>
        <v>616.89</v>
      </c>
      <c r="P2478" t="b">
        <v>0</v>
      </c>
      <c r="R2478" t="str">
        <f>"9781904671824"</f>
        <v>9781904671824</v>
      </c>
      <c r="S2478" t="str">
        <f>"9781904671893"</f>
        <v>9781904671893</v>
      </c>
      <c r="T2478">
        <v>664339752</v>
      </c>
    </row>
    <row r="2479" spans="1:20" x14ac:dyDescent="0.25">
      <c r="A2479">
        <v>320652</v>
      </c>
      <c r="B2479" t="s">
        <v>12139</v>
      </c>
      <c r="C2479" t="s">
        <v>12140</v>
      </c>
      <c r="D2479" t="s">
        <v>12141</v>
      </c>
      <c r="E2479" t="s">
        <v>12141</v>
      </c>
      <c r="F2479">
        <v>2010</v>
      </c>
      <c r="G2479" t="s">
        <v>166</v>
      </c>
      <c r="H2479" t="s">
        <v>12142</v>
      </c>
      <c r="I2479" t="s">
        <v>12143</v>
      </c>
      <c r="J2479" t="s">
        <v>26</v>
      </c>
      <c r="K2479" t="s">
        <v>27</v>
      </c>
      <c r="L2479" t="b">
        <v>1</v>
      </c>
      <c r="M2479" t="s">
        <v>12144</v>
      </c>
      <c r="N2479" t="str">
        <f>"617.9/604"</f>
        <v>617.9/604</v>
      </c>
      <c r="O2479" t="s">
        <v>12145</v>
      </c>
      <c r="P2479" t="b">
        <v>0</v>
      </c>
      <c r="R2479" t="str">
        <f>"9781585116058"</f>
        <v>9781585116058</v>
      </c>
      <c r="S2479" t="str">
        <f>"9781441649591"</f>
        <v>9781441649591</v>
      </c>
      <c r="T2479">
        <v>659549565</v>
      </c>
    </row>
    <row r="2480" spans="1:20" x14ac:dyDescent="0.25">
      <c r="A2480">
        <v>320330</v>
      </c>
      <c r="B2480" t="s">
        <v>12146</v>
      </c>
      <c r="C2480" t="s">
        <v>12147</v>
      </c>
      <c r="D2480" t="s">
        <v>1364</v>
      </c>
      <c r="E2480" t="s">
        <v>1364</v>
      </c>
      <c r="F2480">
        <v>2010</v>
      </c>
      <c r="G2480" t="s">
        <v>12148</v>
      </c>
      <c r="H2480" t="s">
        <v>12149</v>
      </c>
      <c r="I2480" t="s">
        <v>12150</v>
      </c>
      <c r="J2480" t="s">
        <v>7790</v>
      </c>
      <c r="K2480" t="s">
        <v>27</v>
      </c>
      <c r="L2480" t="b">
        <v>1</v>
      </c>
      <c r="M2480" t="s">
        <v>12151</v>
      </c>
      <c r="N2480" t="str">
        <f>"302.2"</f>
        <v>302.2</v>
      </c>
      <c r="O2480" t="s">
        <v>12152</v>
      </c>
      <c r="P2480" t="b">
        <v>0</v>
      </c>
      <c r="R2480" t="str">
        <f>"9783110222050"</f>
        <v>9783110222050</v>
      </c>
      <c r="S2480" t="str">
        <f>"9783110223613"</f>
        <v>9783110223613</v>
      </c>
      <c r="T2480">
        <v>654398873</v>
      </c>
    </row>
    <row r="2481" spans="1:20" x14ac:dyDescent="0.25">
      <c r="A2481">
        <v>319997</v>
      </c>
      <c r="B2481" t="s">
        <v>12153</v>
      </c>
      <c r="D2481" t="s">
        <v>131</v>
      </c>
      <c r="E2481" t="s">
        <v>1885</v>
      </c>
      <c r="F2481">
        <v>2010</v>
      </c>
      <c r="G2481" t="s">
        <v>9559</v>
      </c>
      <c r="H2481" t="s">
        <v>12154</v>
      </c>
      <c r="I2481" t="s">
        <v>12155</v>
      </c>
      <c r="J2481" t="s">
        <v>26</v>
      </c>
      <c r="K2481" t="s">
        <v>86</v>
      </c>
      <c r="L2481" t="b">
        <v>1</v>
      </c>
      <c r="M2481" t="s">
        <v>9562</v>
      </c>
      <c r="N2481" t="str">
        <f>"398/.45"</f>
        <v>398/.45</v>
      </c>
      <c r="P2481" t="b">
        <v>0</v>
      </c>
      <c r="Q2481" t="b">
        <v>0</v>
      </c>
      <c r="R2481" t="str">
        <f>"9781578592968"</f>
        <v>9781578592968</v>
      </c>
      <c r="S2481" t="str">
        <f>"9781578593415"</f>
        <v>9781578593415</v>
      </c>
      <c r="T2481">
        <v>645429741</v>
      </c>
    </row>
    <row r="2482" spans="1:20" x14ac:dyDescent="0.25">
      <c r="A2482">
        <v>319996</v>
      </c>
      <c r="B2482" t="s">
        <v>12156</v>
      </c>
      <c r="D2482" t="s">
        <v>131</v>
      </c>
      <c r="E2482" t="s">
        <v>1885</v>
      </c>
      <c r="F2482">
        <v>2010</v>
      </c>
      <c r="G2482" t="s">
        <v>4530</v>
      </c>
      <c r="H2482" t="s">
        <v>12157</v>
      </c>
      <c r="I2482" t="s">
        <v>4409</v>
      </c>
      <c r="J2482" t="s">
        <v>26</v>
      </c>
      <c r="K2482" t="s">
        <v>86</v>
      </c>
      <c r="L2482" t="b">
        <v>1</v>
      </c>
      <c r="M2482" t="s">
        <v>12158</v>
      </c>
      <c r="N2482" t="str">
        <f>"100"</f>
        <v>100</v>
      </c>
      <c r="O2482" t="s">
        <v>12159</v>
      </c>
      <c r="P2482" t="b">
        <v>0</v>
      </c>
      <c r="Q2482" t="b">
        <v>0</v>
      </c>
      <c r="R2482" t="str">
        <f>"9781578592265"</f>
        <v>9781578592265</v>
      </c>
      <c r="S2482" t="str">
        <f>"9781578592777"</f>
        <v>9781578592777</v>
      </c>
      <c r="T2482">
        <v>630115844</v>
      </c>
    </row>
    <row r="2483" spans="1:20" x14ac:dyDescent="0.25">
      <c r="A2483">
        <v>319995</v>
      </c>
      <c r="B2483" t="s">
        <v>12160</v>
      </c>
      <c r="D2483" t="s">
        <v>131</v>
      </c>
      <c r="E2483" t="s">
        <v>1885</v>
      </c>
      <c r="F2483">
        <v>2010</v>
      </c>
      <c r="G2483" t="s">
        <v>12161</v>
      </c>
      <c r="H2483" t="s">
        <v>12162</v>
      </c>
      <c r="I2483" t="s">
        <v>12163</v>
      </c>
      <c r="J2483" t="s">
        <v>26</v>
      </c>
      <c r="K2483" t="s">
        <v>86</v>
      </c>
      <c r="L2483" t="b">
        <v>1</v>
      </c>
      <c r="M2483" t="s">
        <v>12164</v>
      </c>
      <c r="N2483" t="str">
        <f>"349.73"</f>
        <v>349.73</v>
      </c>
      <c r="O2483" t="s">
        <v>12165</v>
      </c>
      <c r="P2483" t="b">
        <v>0</v>
      </c>
      <c r="Q2483" t="b">
        <v>0</v>
      </c>
      <c r="R2483" t="str">
        <f>"9781578592173"</f>
        <v>9781578592173</v>
      </c>
      <c r="S2483" t="str">
        <f>"9781578593354"</f>
        <v>9781578593354</v>
      </c>
      <c r="T2483">
        <v>630116563</v>
      </c>
    </row>
    <row r="2484" spans="1:20" x14ac:dyDescent="0.25">
      <c r="A2484">
        <v>319994</v>
      </c>
      <c r="B2484" t="s">
        <v>12166</v>
      </c>
      <c r="D2484" t="s">
        <v>131</v>
      </c>
      <c r="E2484" t="s">
        <v>1885</v>
      </c>
      <c r="F2484">
        <v>2010</v>
      </c>
      <c r="G2484" t="s">
        <v>12167</v>
      </c>
      <c r="H2484" t="s">
        <v>12168</v>
      </c>
      <c r="I2484" t="s">
        <v>12169</v>
      </c>
      <c r="J2484" t="s">
        <v>26</v>
      </c>
      <c r="K2484" t="s">
        <v>86</v>
      </c>
      <c r="L2484" t="b">
        <v>1</v>
      </c>
      <c r="M2484" t="s">
        <v>12170</v>
      </c>
      <c r="N2484" t="str">
        <f>"398.23/4"</f>
        <v>398.23/4</v>
      </c>
      <c r="P2484" t="b">
        <v>0</v>
      </c>
      <c r="Q2484" t="b">
        <v>0</v>
      </c>
      <c r="R2484" t="str">
        <f>"9781578591756"</f>
        <v>9781578591756</v>
      </c>
      <c r="S2484" t="str">
        <f>"9781578593385"</f>
        <v>9781578593385</v>
      </c>
      <c r="T2484">
        <v>645434531</v>
      </c>
    </row>
    <row r="2485" spans="1:20" x14ac:dyDescent="0.25">
      <c r="A2485">
        <v>319991</v>
      </c>
      <c r="B2485" t="s">
        <v>12171</v>
      </c>
      <c r="C2485" t="s">
        <v>12172</v>
      </c>
      <c r="D2485" t="s">
        <v>10161</v>
      </c>
      <c r="E2485" t="s">
        <v>10161</v>
      </c>
      <c r="F2485">
        <v>2009</v>
      </c>
      <c r="G2485" t="s">
        <v>11103</v>
      </c>
      <c r="H2485" t="s">
        <v>12173</v>
      </c>
      <c r="I2485" t="s">
        <v>12174</v>
      </c>
      <c r="J2485" t="s">
        <v>512</v>
      </c>
      <c r="K2485" t="s">
        <v>27</v>
      </c>
      <c r="L2485" t="b">
        <v>1</v>
      </c>
      <c r="M2485" t="s">
        <v>12175</v>
      </c>
      <c r="N2485" t="str">
        <f>"507.2/01724"</f>
        <v>507.2/01724</v>
      </c>
      <c r="P2485" t="b">
        <v>0</v>
      </c>
      <c r="R2485" t="str">
        <f>"9789588307695"</f>
        <v>9789588307695</v>
      </c>
      <c r="S2485" t="str">
        <f>"9781552504499"</f>
        <v>9781552504499</v>
      </c>
      <c r="T2485">
        <v>664246535</v>
      </c>
    </row>
    <row r="2486" spans="1:20" x14ac:dyDescent="0.25">
      <c r="A2486">
        <v>319390</v>
      </c>
      <c r="B2486" t="s">
        <v>12176</v>
      </c>
      <c r="C2486" t="s">
        <v>12177</v>
      </c>
      <c r="D2486" t="s">
        <v>226</v>
      </c>
      <c r="E2486" t="s">
        <v>226</v>
      </c>
      <c r="F2486">
        <v>2005</v>
      </c>
      <c r="G2486" t="s">
        <v>57</v>
      </c>
      <c r="H2486" t="s">
        <v>12178</v>
      </c>
      <c r="I2486" t="s">
        <v>12179</v>
      </c>
      <c r="J2486" t="s">
        <v>26</v>
      </c>
      <c r="K2486" t="s">
        <v>27</v>
      </c>
      <c r="L2486" t="b">
        <v>1</v>
      </c>
      <c r="M2486" t="s">
        <v>12180</v>
      </c>
      <c r="N2486" t="str">
        <f>"303.6/6"</f>
        <v>303.6/6</v>
      </c>
      <c r="P2486" t="b">
        <v>0</v>
      </c>
      <c r="Q2486" t="b">
        <v>0</v>
      </c>
      <c r="R2486" t="str">
        <f>"9780226763880"</f>
        <v>9780226763880</v>
      </c>
      <c r="S2486" t="str">
        <f>"9780226763910"</f>
        <v>9780226763910</v>
      </c>
      <c r="T2486">
        <v>615627991</v>
      </c>
    </row>
    <row r="2487" spans="1:20" x14ac:dyDescent="0.25">
      <c r="A2487">
        <v>319124</v>
      </c>
      <c r="B2487" t="s">
        <v>12181</v>
      </c>
      <c r="D2487" t="s">
        <v>12182</v>
      </c>
      <c r="E2487" t="s">
        <v>12182</v>
      </c>
      <c r="F2487">
        <v>2010</v>
      </c>
      <c r="G2487" t="s">
        <v>12071</v>
      </c>
      <c r="H2487" t="s">
        <v>12183</v>
      </c>
      <c r="I2487" t="s">
        <v>12184</v>
      </c>
      <c r="J2487" t="s">
        <v>26</v>
      </c>
      <c r="K2487" t="s">
        <v>27</v>
      </c>
      <c r="L2487" t="b">
        <v>1</v>
      </c>
      <c r="M2487" t="s">
        <v>12185</v>
      </c>
      <c r="N2487" t="str">
        <f>"510.76"</f>
        <v>510.76</v>
      </c>
      <c r="P2487" t="b">
        <v>0</v>
      </c>
      <c r="R2487" t="str">
        <f>"9781889057651"</f>
        <v>9781889057651</v>
      </c>
      <c r="S2487" t="str">
        <f>"9781889057750"</f>
        <v>9781889057750</v>
      </c>
      <c r="T2487">
        <v>694096861</v>
      </c>
    </row>
    <row r="2488" spans="1:20" x14ac:dyDescent="0.25">
      <c r="A2488">
        <v>318571</v>
      </c>
      <c r="B2488" t="s">
        <v>12186</v>
      </c>
      <c r="D2488" t="s">
        <v>12187</v>
      </c>
      <c r="E2488" t="s">
        <v>12187</v>
      </c>
      <c r="F2488">
        <v>2008</v>
      </c>
      <c r="G2488" t="s">
        <v>11258</v>
      </c>
      <c r="H2488" t="s">
        <v>12188</v>
      </c>
      <c r="I2488" t="s">
        <v>12189</v>
      </c>
      <c r="J2488" t="s">
        <v>26</v>
      </c>
      <c r="K2488" t="s">
        <v>27</v>
      </c>
      <c r="L2488" t="b">
        <v>1</v>
      </c>
      <c r="M2488" t="s">
        <v>12190</v>
      </c>
      <c r="N2488" t="str">
        <f>"621.31/042"</f>
        <v>621.31/042</v>
      </c>
      <c r="P2488" t="b">
        <v>0</v>
      </c>
      <c r="R2488" t="str">
        <f>"9788122422825"</f>
        <v>9788122422825</v>
      </c>
      <c r="S2488" t="str">
        <f>"9788122429527"</f>
        <v>9788122429527</v>
      </c>
      <c r="T2488">
        <v>649734801</v>
      </c>
    </row>
    <row r="2489" spans="1:20" x14ac:dyDescent="0.25">
      <c r="A2489">
        <v>318369</v>
      </c>
      <c r="B2489" t="s">
        <v>12191</v>
      </c>
      <c r="C2489" t="s">
        <v>12192</v>
      </c>
      <c r="D2489" t="s">
        <v>226</v>
      </c>
      <c r="E2489" t="s">
        <v>226</v>
      </c>
      <c r="F2489">
        <v>2010</v>
      </c>
      <c r="G2489" t="s">
        <v>57</v>
      </c>
      <c r="H2489" t="s">
        <v>12193</v>
      </c>
      <c r="I2489" t="s">
        <v>12194</v>
      </c>
      <c r="J2489" t="s">
        <v>26</v>
      </c>
      <c r="K2489" t="s">
        <v>27</v>
      </c>
      <c r="L2489" t="b">
        <v>1</v>
      </c>
      <c r="M2489" t="s">
        <v>12195</v>
      </c>
      <c r="N2489" t="str">
        <f>"300.1"</f>
        <v>300.1</v>
      </c>
      <c r="O2489" t="s">
        <v>12196</v>
      </c>
      <c r="P2489" t="b">
        <v>0</v>
      </c>
      <c r="Q2489" t="b">
        <v>0</v>
      </c>
      <c r="R2489" t="str">
        <f>"9780226321097"</f>
        <v>9780226321097</v>
      </c>
      <c r="S2489" t="str">
        <f>"9780226321127"</f>
        <v>9780226321127</v>
      </c>
      <c r="T2489">
        <v>644562456</v>
      </c>
    </row>
    <row r="2490" spans="1:20" x14ac:dyDescent="0.25">
      <c r="A2490">
        <v>317871</v>
      </c>
      <c r="B2490" t="s">
        <v>12197</v>
      </c>
      <c r="D2490" t="s">
        <v>1364</v>
      </c>
      <c r="E2490" t="s">
        <v>1507</v>
      </c>
      <c r="F2490">
        <v>2004</v>
      </c>
      <c r="G2490" t="s">
        <v>182</v>
      </c>
      <c r="H2490" t="s">
        <v>12198</v>
      </c>
      <c r="I2490" t="s">
        <v>12199</v>
      </c>
      <c r="J2490" t="s">
        <v>7790</v>
      </c>
      <c r="K2490" t="s">
        <v>27</v>
      </c>
      <c r="L2490" t="b">
        <v>1</v>
      </c>
      <c r="M2490" t="s">
        <v>12200</v>
      </c>
      <c r="N2490" t="str">
        <f>"296/.092/243"</f>
        <v>296/.092/243</v>
      </c>
      <c r="P2490" t="b">
        <v>0</v>
      </c>
      <c r="R2490" t="str">
        <f>"9783598248719"</f>
        <v>9783598248719</v>
      </c>
      <c r="S2490" t="str">
        <f>"9783110232325"</f>
        <v>9783110232325</v>
      </c>
      <c r="T2490">
        <v>644583327</v>
      </c>
    </row>
    <row r="2491" spans="1:20" x14ac:dyDescent="0.25">
      <c r="A2491">
        <v>317821</v>
      </c>
      <c r="B2491" t="s">
        <v>12201</v>
      </c>
      <c r="D2491" t="s">
        <v>1364</v>
      </c>
      <c r="E2491" t="s">
        <v>1507</v>
      </c>
      <c r="F2491">
        <v>2009</v>
      </c>
      <c r="G2491" t="s">
        <v>5054</v>
      </c>
      <c r="H2491" t="s">
        <v>12202</v>
      </c>
      <c r="I2491" t="s">
        <v>7789</v>
      </c>
      <c r="J2491" t="s">
        <v>7790</v>
      </c>
      <c r="K2491" t="s">
        <v>27</v>
      </c>
      <c r="L2491" t="b">
        <v>1</v>
      </c>
      <c r="M2491" t="s">
        <v>12203</v>
      </c>
      <c r="N2491" t="str">
        <f>"943.084092"</f>
        <v>943.084092</v>
      </c>
      <c r="O2491" t="s">
        <v>12204</v>
      </c>
      <c r="P2491" t="b">
        <v>0</v>
      </c>
      <c r="R2491" t="str">
        <f>"9783598251238"</f>
        <v>9783598251238</v>
      </c>
      <c r="S2491" t="str">
        <f>"9783598441363"</f>
        <v>9783598441363</v>
      </c>
      <c r="T2491">
        <v>645096031</v>
      </c>
    </row>
    <row r="2492" spans="1:20" x14ac:dyDescent="0.25">
      <c r="A2492">
        <v>317819</v>
      </c>
      <c r="B2492">
        <v>2009</v>
      </c>
      <c r="D2492" t="s">
        <v>1364</v>
      </c>
      <c r="E2492" t="s">
        <v>1507</v>
      </c>
      <c r="F2492">
        <v>2009</v>
      </c>
      <c r="G2492" t="s">
        <v>6053</v>
      </c>
      <c r="H2492" t="s">
        <v>12205</v>
      </c>
      <c r="I2492" t="s">
        <v>12206</v>
      </c>
      <c r="J2492" t="s">
        <v>7790</v>
      </c>
      <c r="K2492" t="s">
        <v>27</v>
      </c>
      <c r="L2492" t="b">
        <v>1</v>
      </c>
      <c r="M2492" t="s">
        <v>12207</v>
      </c>
      <c r="N2492" t="str">
        <f>"686.20943"</f>
        <v>686.20943</v>
      </c>
      <c r="O2492" t="s">
        <v>12208</v>
      </c>
      <c r="P2492" t="b">
        <v>0</v>
      </c>
      <c r="R2492" t="str">
        <f>"9783598248603"</f>
        <v>9783598248603</v>
      </c>
      <c r="S2492" t="str">
        <f>"9783598441837"</f>
        <v>9783598441837</v>
      </c>
      <c r="T2492">
        <v>645100266</v>
      </c>
    </row>
    <row r="2493" spans="1:20" x14ac:dyDescent="0.25">
      <c r="A2493">
        <v>316381</v>
      </c>
      <c r="B2493" t="s">
        <v>12209</v>
      </c>
      <c r="D2493" t="s">
        <v>12069</v>
      </c>
      <c r="E2493" t="s">
        <v>12070</v>
      </c>
      <c r="F2493">
        <v>2009</v>
      </c>
      <c r="G2493" t="s">
        <v>12210</v>
      </c>
      <c r="H2493" t="s">
        <v>12211</v>
      </c>
      <c r="I2493" t="s">
        <v>12212</v>
      </c>
      <c r="J2493" t="s">
        <v>26</v>
      </c>
      <c r="K2493" t="s">
        <v>27</v>
      </c>
      <c r="L2493" t="b">
        <v>1</v>
      </c>
      <c r="M2493" t="s">
        <v>12074</v>
      </c>
      <c r="N2493" t="str">
        <f>"379.1"</f>
        <v>379.1</v>
      </c>
      <c r="O2493" t="s">
        <v>12213</v>
      </c>
      <c r="P2493" t="b">
        <v>0</v>
      </c>
      <c r="R2493" t="str">
        <f>"9781607870470"</f>
        <v>9781607870470</v>
      </c>
      <c r="S2493" t="str">
        <f>"9781607879893"</f>
        <v>9781607879893</v>
      </c>
      <c r="T2493">
        <v>631262544</v>
      </c>
    </row>
    <row r="2494" spans="1:20" x14ac:dyDescent="0.25">
      <c r="A2494">
        <v>316364</v>
      </c>
      <c r="B2494" t="s">
        <v>12214</v>
      </c>
      <c r="D2494" t="s">
        <v>12069</v>
      </c>
      <c r="E2494" t="s">
        <v>12070</v>
      </c>
      <c r="F2494">
        <v>2009</v>
      </c>
      <c r="G2494" t="s">
        <v>1921</v>
      </c>
      <c r="H2494" t="s">
        <v>12215</v>
      </c>
      <c r="I2494" t="s">
        <v>12216</v>
      </c>
      <c r="J2494" t="s">
        <v>26</v>
      </c>
      <c r="K2494" t="s">
        <v>27</v>
      </c>
      <c r="L2494" t="b">
        <v>1</v>
      </c>
      <c r="M2494" t="s">
        <v>12074</v>
      </c>
      <c r="N2494" t="str">
        <f>"371.120973"</f>
        <v>371.120973</v>
      </c>
      <c r="O2494" t="s">
        <v>12213</v>
      </c>
      <c r="P2494" t="b">
        <v>0</v>
      </c>
      <c r="R2494" t="str">
        <f>"9781607870463"</f>
        <v>9781607870463</v>
      </c>
      <c r="S2494" t="str">
        <f>"9781607879695"</f>
        <v>9781607879695</v>
      </c>
      <c r="T2494">
        <v>631701977</v>
      </c>
    </row>
    <row r="2495" spans="1:20" x14ac:dyDescent="0.25">
      <c r="A2495">
        <v>316363</v>
      </c>
      <c r="B2495" t="s">
        <v>12217</v>
      </c>
      <c r="D2495" t="s">
        <v>12069</v>
      </c>
      <c r="E2495" t="s">
        <v>12070</v>
      </c>
      <c r="F2495">
        <v>2009</v>
      </c>
      <c r="G2495" t="s">
        <v>1921</v>
      </c>
      <c r="H2495" t="s">
        <v>12218</v>
      </c>
      <c r="I2495" t="s">
        <v>12219</v>
      </c>
      <c r="J2495" t="s">
        <v>26</v>
      </c>
      <c r="K2495" t="s">
        <v>27</v>
      </c>
      <c r="L2495" t="b">
        <v>1</v>
      </c>
      <c r="M2495" t="s">
        <v>12074</v>
      </c>
      <c r="N2495" t="str">
        <f>"371.120973"</f>
        <v>371.120973</v>
      </c>
      <c r="O2495" t="s">
        <v>12220</v>
      </c>
      <c r="P2495" t="b">
        <v>0</v>
      </c>
      <c r="R2495" t="str">
        <f>"9781581976915"</f>
        <v>9781581976915</v>
      </c>
      <c r="S2495" t="str">
        <f>"9781607879688"</f>
        <v>9781607879688</v>
      </c>
      <c r="T2495">
        <v>631703101</v>
      </c>
    </row>
    <row r="2496" spans="1:20" x14ac:dyDescent="0.25">
      <c r="A2496">
        <v>316218</v>
      </c>
      <c r="B2496" t="s">
        <v>12221</v>
      </c>
      <c r="C2496" t="s">
        <v>12222</v>
      </c>
      <c r="D2496" t="s">
        <v>12069</v>
      </c>
      <c r="E2496" t="s">
        <v>12070</v>
      </c>
      <c r="F2496">
        <v>2007</v>
      </c>
      <c r="G2496" t="s">
        <v>1921</v>
      </c>
      <c r="H2496" t="s">
        <v>12223</v>
      </c>
      <c r="I2496" t="s">
        <v>12224</v>
      </c>
      <c r="J2496" t="s">
        <v>26</v>
      </c>
      <c r="K2496" t="s">
        <v>27</v>
      </c>
      <c r="L2496" t="b">
        <v>1</v>
      </c>
      <c r="M2496" t="s">
        <v>12225</v>
      </c>
      <c r="N2496" t="str">
        <f>"371.1209773"</f>
        <v>371.1209773</v>
      </c>
      <c r="P2496" t="b">
        <v>0</v>
      </c>
      <c r="R2496" t="str">
        <f>"9781581979831"</f>
        <v>9781581979831</v>
      </c>
      <c r="S2496" t="str">
        <f>"9781607878148"</f>
        <v>9781607878148</v>
      </c>
      <c r="T2496">
        <v>629654489</v>
      </c>
    </row>
    <row r="2497" spans="1:20" x14ac:dyDescent="0.25">
      <c r="A2497">
        <v>316177</v>
      </c>
      <c r="B2497" t="s">
        <v>12226</v>
      </c>
      <c r="C2497" t="s">
        <v>12222</v>
      </c>
      <c r="D2497" t="s">
        <v>12069</v>
      </c>
      <c r="E2497" t="s">
        <v>12070</v>
      </c>
      <c r="F2497">
        <v>2008</v>
      </c>
      <c r="G2497" t="s">
        <v>1921</v>
      </c>
      <c r="H2497" t="s">
        <v>12227</v>
      </c>
      <c r="I2497" t="s">
        <v>12228</v>
      </c>
      <c r="J2497" t="s">
        <v>26</v>
      </c>
      <c r="K2497" t="s">
        <v>27</v>
      </c>
      <c r="L2497" t="b">
        <v>1</v>
      </c>
      <c r="M2497" t="s">
        <v>12074</v>
      </c>
      <c r="N2497" t="str">
        <f>"371.1209759"</f>
        <v>371.1209759</v>
      </c>
      <c r="P2497" t="b">
        <v>0</v>
      </c>
      <c r="R2497" t="str">
        <f>"9781581970449"</f>
        <v>9781581970449</v>
      </c>
      <c r="S2497" t="str">
        <f>"9781607877707"</f>
        <v>9781607877707</v>
      </c>
      <c r="T2497">
        <v>613614359</v>
      </c>
    </row>
    <row r="2498" spans="1:20" x14ac:dyDescent="0.25">
      <c r="A2498">
        <v>316172</v>
      </c>
      <c r="B2498" t="s">
        <v>12229</v>
      </c>
      <c r="C2498" t="s">
        <v>12222</v>
      </c>
      <c r="D2498" t="s">
        <v>12069</v>
      </c>
      <c r="E2498" t="s">
        <v>12070</v>
      </c>
      <c r="F2498">
        <v>2009</v>
      </c>
      <c r="G2498" t="s">
        <v>11103</v>
      </c>
      <c r="H2498" t="s">
        <v>12230</v>
      </c>
      <c r="I2498" t="s">
        <v>12231</v>
      </c>
      <c r="J2498" t="s">
        <v>26</v>
      </c>
      <c r="K2498" t="s">
        <v>27</v>
      </c>
      <c r="L2498" t="b">
        <v>1</v>
      </c>
      <c r="M2498" t="s">
        <v>12074</v>
      </c>
      <c r="N2498" t="str">
        <f>"507.6"</f>
        <v>507.6</v>
      </c>
      <c r="P2498" t="b">
        <v>0</v>
      </c>
      <c r="R2498" t="str">
        <f>"9781607870081"</f>
        <v>9781607870081</v>
      </c>
      <c r="S2498" t="str">
        <f>"9781607877653"</f>
        <v>9781607877653</v>
      </c>
      <c r="T2498">
        <v>615600114</v>
      </c>
    </row>
    <row r="2499" spans="1:20" x14ac:dyDescent="0.25">
      <c r="A2499">
        <v>316170</v>
      </c>
      <c r="B2499" t="s">
        <v>12232</v>
      </c>
      <c r="D2499" t="s">
        <v>12069</v>
      </c>
      <c r="E2499" t="s">
        <v>12070</v>
      </c>
      <c r="F2499">
        <v>2008</v>
      </c>
      <c r="G2499" t="s">
        <v>1921</v>
      </c>
      <c r="H2499" t="s">
        <v>12233</v>
      </c>
      <c r="I2499" t="s">
        <v>12234</v>
      </c>
      <c r="J2499" t="s">
        <v>26</v>
      </c>
      <c r="K2499" t="s">
        <v>27</v>
      </c>
      <c r="L2499" t="b">
        <v>1</v>
      </c>
      <c r="M2499" t="s">
        <v>12074</v>
      </c>
      <c r="N2499" t="str">
        <f>"371.12/09759"</f>
        <v>371.12/09759</v>
      </c>
      <c r="P2499" t="b">
        <v>0</v>
      </c>
      <c r="R2499" t="str">
        <f>"9781581976403"</f>
        <v>9781581976403</v>
      </c>
      <c r="S2499" t="str">
        <f>"9781607877639"</f>
        <v>9781607877639</v>
      </c>
      <c r="T2499">
        <v>613596072</v>
      </c>
    </row>
    <row r="2500" spans="1:20" x14ac:dyDescent="0.25">
      <c r="A2500">
        <v>316160</v>
      </c>
      <c r="B2500" t="s">
        <v>12235</v>
      </c>
      <c r="C2500" t="s">
        <v>12222</v>
      </c>
      <c r="D2500" t="s">
        <v>12069</v>
      </c>
      <c r="E2500" t="s">
        <v>12070</v>
      </c>
      <c r="F2500">
        <v>2009</v>
      </c>
      <c r="G2500" t="s">
        <v>11103</v>
      </c>
      <c r="H2500" t="s">
        <v>12230</v>
      </c>
      <c r="I2500" t="s">
        <v>12236</v>
      </c>
      <c r="J2500" t="s">
        <v>26</v>
      </c>
      <c r="K2500" t="s">
        <v>27</v>
      </c>
      <c r="L2500" t="b">
        <v>1</v>
      </c>
      <c r="M2500" t="s">
        <v>12074</v>
      </c>
      <c r="N2500" t="str">
        <f>"507.6"</f>
        <v>507.6</v>
      </c>
      <c r="P2500" t="b">
        <v>0</v>
      </c>
      <c r="R2500" t="str">
        <f>"9781607870043"</f>
        <v>9781607870043</v>
      </c>
      <c r="S2500" t="str">
        <f>"9781607877530"</f>
        <v>9781607877530</v>
      </c>
      <c r="T2500">
        <v>615587300</v>
      </c>
    </row>
    <row r="2501" spans="1:20" x14ac:dyDescent="0.25">
      <c r="A2501">
        <v>316159</v>
      </c>
      <c r="B2501" t="s">
        <v>12237</v>
      </c>
      <c r="C2501" t="s">
        <v>12222</v>
      </c>
      <c r="D2501" t="s">
        <v>12069</v>
      </c>
      <c r="E2501" t="s">
        <v>12070</v>
      </c>
      <c r="F2501">
        <v>2008</v>
      </c>
      <c r="G2501" t="s">
        <v>6758</v>
      </c>
      <c r="H2501" t="s">
        <v>12238</v>
      </c>
      <c r="I2501" t="s">
        <v>12239</v>
      </c>
      <c r="J2501" t="s">
        <v>26</v>
      </c>
      <c r="K2501" t="s">
        <v>27</v>
      </c>
      <c r="L2501" t="b">
        <v>1</v>
      </c>
      <c r="M2501" t="s">
        <v>12074</v>
      </c>
      <c r="N2501" t="str">
        <f>"540.76"</f>
        <v>540.76</v>
      </c>
      <c r="P2501" t="b">
        <v>0</v>
      </c>
      <c r="R2501" t="str">
        <f>"9781581970463"</f>
        <v>9781581970463</v>
      </c>
      <c r="S2501" t="str">
        <f>"9781607877523"</f>
        <v>9781607877523</v>
      </c>
      <c r="T2501">
        <v>615587344</v>
      </c>
    </row>
    <row r="2502" spans="1:20" x14ac:dyDescent="0.25">
      <c r="A2502">
        <v>316139</v>
      </c>
      <c r="B2502" t="s">
        <v>12240</v>
      </c>
      <c r="C2502" t="s">
        <v>12241</v>
      </c>
      <c r="D2502" t="s">
        <v>12069</v>
      </c>
      <c r="E2502" t="s">
        <v>12070</v>
      </c>
      <c r="F2502">
        <v>2008</v>
      </c>
      <c r="G2502" t="s">
        <v>6872</v>
      </c>
      <c r="H2502" t="s">
        <v>12242</v>
      </c>
      <c r="I2502" t="s">
        <v>12243</v>
      </c>
      <c r="J2502" t="s">
        <v>26</v>
      </c>
      <c r="K2502" t="s">
        <v>27</v>
      </c>
      <c r="L2502" t="b">
        <v>1</v>
      </c>
      <c r="M2502" t="s">
        <v>12074</v>
      </c>
      <c r="N2502" t="str">
        <f>"530.076"</f>
        <v>530.076</v>
      </c>
      <c r="P2502" t="b">
        <v>0</v>
      </c>
      <c r="R2502" t="str">
        <f>"9781581972245"</f>
        <v>9781581972245</v>
      </c>
      <c r="S2502" t="str">
        <f>"9781607877318"</f>
        <v>9781607877318</v>
      </c>
      <c r="T2502">
        <v>615587243</v>
      </c>
    </row>
    <row r="2503" spans="1:20" x14ac:dyDescent="0.25">
      <c r="A2503">
        <v>316138</v>
      </c>
      <c r="B2503" t="s">
        <v>12244</v>
      </c>
      <c r="C2503" t="s">
        <v>12245</v>
      </c>
      <c r="D2503" t="s">
        <v>12069</v>
      </c>
      <c r="E2503" t="s">
        <v>12070</v>
      </c>
      <c r="F2503">
        <v>2008</v>
      </c>
      <c r="G2503" t="s">
        <v>11103</v>
      </c>
      <c r="H2503" t="s">
        <v>12246</v>
      </c>
      <c r="I2503" t="s">
        <v>12247</v>
      </c>
      <c r="J2503" t="s">
        <v>26</v>
      </c>
      <c r="K2503" t="s">
        <v>27</v>
      </c>
      <c r="L2503" t="b">
        <v>1</v>
      </c>
      <c r="M2503" t="s">
        <v>12074</v>
      </c>
      <c r="N2503" t="str">
        <f>"507.6"</f>
        <v>507.6</v>
      </c>
      <c r="P2503" t="b">
        <v>0</v>
      </c>
      <c r="R2503" t="str">
        <f>"9781581973990"</f>
        <v>9781581973990</v>
      </c>
      <c r="S2503" t="str">
        <f>"9781607877301"</f>
        <v>9781607877301</v>
      </c>
      <c r="T2503">
        <v>615589988</v>
      </c>
    </row>
    <row r="2504" spans="1:20" x14ac:dyDescent="0.25">
      <c r="A2504">
        <v>316137</v>
      </c>
      <c r="B2504" t="s">
        <v>12248</v>
      </c>
      <c r="C2504" t="s">
        <v>12222</v>
      </c>
      <c r="D2504" t="s">
        <v>12069</v>
      </c>
      <c r="E2504" t="s">
        <v>12070</v>
      </c>
      <c r="F2504">
        <v>2007</v>
      </c>
      <c r="G2504" t="s">
        <v>6758</v>
      </c>
      <c r="H2504" t="s">
        <v>12249</v>
      </c>
      <c r="I2504" t="s">
        <v>12250</v>
      </c>
      <c r="J2504" t="s">
        <v>26</v>
      </c>
      <c r="K2504" t="s">
        <v>27</v>
      </c>
      <c r="L2504" t="b">
        <v>1</v>
      </c>
      <c r="M2504" t="s">
        <v>12251</v>
      </c>
      <c r="N2504" t="str">
        <f>"540.76"</f>
        <v>540.76</v>
      </c>
      <c r="P2504" t="b">
        <v>0</v>
      </c>
      <c r="R2504" t="str">
        <f>"9781581973952"</f>
        <v>9781581973952</v>
      </c>
      <c r="S2504" t="str">
        <f>"9781607877295"</f>
        <v>9781607877295</v>
      </c>
      <c r="T2504">
        <v>613552851</v>
      </c>
    </row>
    <row r="2505" spans="1:20" x14ac:dyDescent="0.25">
      <c r="A2505">
        <v>316135</v>
      </c>
      <c r="B2505" t="s">
        <v>12252</v>
      </c>
      <c r="C2505" t="s">
        <v>12253</v>
      </c>
      <c r="D2505" t="s">
        <v>12069</v>
      </c>
      <c r="E2505" t="s">
        <v>12070</v>
      </c>
      <c r="F2505">
        <v>2008</v>
      </c>
      <c r="G2505" t="s">
        <v>11103</v>
      </c>
      <c r="H2505" t="s">
        <v>12254</v>
      </c>
      <c r="I2505" t="s">
        <v>12255</v>
      </c>
      <c r="J2505" t="s">
        <v>26</v>
      </c>
      <c r="K2505" t="s">
        <v>27</v>
      </c>
      <c r="L2505" t="b">
        <v>1</v>
      </c>
      <c r="M2505" t="s">
        <v>12074</v>
      </c>
      <c r="N2505" t="str">
        <f>"507.6"</f>
        <v>507.6</v>
      </c>
      <c r="P2505" t="b">
        <v>0</v>
      </c>
      <c r="R2505" t="str">
        <f>"9781581973426"</f>
        <v>9781581973426</v>
      </c>
      <c r="S2505" t="str">
        <f>"9781607877271"</f>
        <v>9781607877271</v>
      </c>
      <c r="T2505">
        <v>615364359</v>
      </c>
    </row>
    <row r="2506" spans="1:20" x14ac:dyDescent="0.25">
      <c r="A2506">
        <v>316133</v>
      </c>
      <c r="B2506" t="s">
        <v>12256</v>
      </c>
      <c r="C2506" t="s">
        <v>12222</v>
      </c>
      <c r="D2506" t="s">
        <v>12069</v>
      </c>
      <c r="E2506" t="s">
        <v>12070</v>
      </c>
      <c r="F2506">
        <v>2008</v>
      </c>
      <c r="G2506" t="s">
        <v>12071</v>
      </c>
      <c r="H2506" t="s">
        <v>12257</v>
      </c>
      <c r="I2506" t="s">
        <v>12258</v>
      </c>
      <c r="J2506" t="s">
        <v>26</v>
      </c>
      <c r="K2506" t="s">
        <v>27</v>
      </c>
      <c r="L2506" t="b">
        <v>1</v>
      </c>
      <c r="M2506" t="s">
        <v>12074</v>
      </c>
      <c r="N2506" t="str">
        <f>"510.76"</f>
        <v>510.76</v>
      </c>
      <c r="P2506" t="b">
        <v>0</v>
      </c>
      <c r="R2506" t="str">
        <f>"9781581972856"</f>
        <v>9781581972856</v>
      </c>
      <c r="S2506" t="str">
        <f>"9781607877257"</f>
        <v>9781607877257</v>
      </c>
      <c r="T2506">
        <v>613558987</v>
      </c>
    </row>
    <row r="2507" spans="1:20" x14ac:dyDescent="0.25">
      <c r="A2507">
        <v>316132</v>
      </c>
      <c r="B2507" t="s">
        <v>12259</v>
      </c>
      <c r="C2507" t="s">
        <v>12222</v>
      </c>
      <c r="D2507" t="s">
        <v>12069</v>
      </c>
      <c r="E2507" t="s">
        <v>12070</v>
      </c>
      <c r="F2507">
        <v>2008</v>
      </c>
      <c r="G2507" t="s">
        <v>12071</v>
      </c>
      <c r="H2507" t="s">
        <v>12260</v>
      </c>
      <c r="I2507" t="s">
        <v>12261</v>
      </c>
      <c r="J2507" t="s">
        <v>26</v>
      </c>
      <c r="K2507" t="s">
        <v>27</v>
      </c>
      <c r="L2507" t="b">
        <v>1</v>
      </c>
      <c r="M2507" t="s">
        <v>12251</v>
      </c>
      <c r="N2507" t="str">
        <f>"510.76"</f>
        <v>510.76</v>
      </c>
      <c r="P2507" t="b">
        <v>0</v>
      </c>
      <c r="R2507" t="str">
        <f>"9781581976083"</f>
        <v>9781581976083</v>
      </c>
      <c r="S2507" t="str">
        <f>"9781607877240"</f>
        <v>9781607877240</v>
      </c>
      <c r="T2507">
        <v>613596140</v>
      </c>
    </row>
    <row r="2508" spans="1:20" x14ac:dyDescent="0.25">
      <c r="A2508">
        <v>315893</v>
      </c>
      <c r="B2508" t="s">
        <v>12262</v>
      </c>
      <c r="D2508" t="s">
        <v>1151</v>
      </c>
      <c r="E2508" t="s">
        <v>8755</v>
      </c>
      <c r="F2508">
        <v>2008</v>
      </c>
      <c r="G2508" t="s">
        <v>12263</v>
      </c>
      <c r="H2508" t="s">
        <v>12264</v>
      </c>
      <c r="I2508" t="s">
        <v>12265</v>
      </c>
      <c r="J2508" t="s">
        <v>26</v>
      </c>
      <c r="K2508" t="s">
        <v>27</v>
      </c>
      <c r="L2508" t="b">
        <v>1</v>
      </c>
      <c r="M2508" t="s">
        <v>12266</v>
      </c>
      <c r="N2508" t="str">
        <f>"778.9/93925"</f>
        <v>778.9/93925</v>
      </c>
      <c r="P2508" t="b">
        <v>0</v>
      </c>
      <c r="R2508" t="str">
        <f>"9781584282280"</f>
        <v>9781584282280</v>
      </c>
      <c r="S2508" t="str">
        <f>"9781608950515"</f>
        <v>9781608950515</v>
      </c>
      <c r="T2508">
        <v>614374772</v>
      </c>
    </row>
    <row r="2509" spans="1:20" x14ac:dyDescent="0.25">
      <c r="A2509">
        <v>315892</v>
      </c>
      <c r="B2509" t="s">
        <v>12267</v>
      </c>
      <c r="D2509" t="s">
        <v>1151</v>
      </c>
      <c r="E2509" t="s">
        <v>8755</v>
      </c>
      <c r="F2509">
        <v>2008</v>
      </c>
      <c r="G2509" t="s">
        <v>8756</v>
      </c>
      <c r="H2509" t="s">
        <v>12268</v>
      </c>
      <c r="I2509" t="s">
        <v>8758</v>
      </c>
      <c r="J2509" t="s">
        <v>26</v>
      </c>
      <c r="K2509" t="s">
        <v>27</v>
      </c>
      <c r="L2509" t="b">
        <v>1</v>
      </c>
      <c r="M2509" t="s">
        <v>12269</v>
      </c>
      <c r="N2509" t="str">
        <f>"771/.49"</f>
        <v>771/.49</v>
      </c>
      <c r="P2509" t="b">
        <v>0</v>
      </c>
      <c r="R2509" t="str">
        <f>"9781584282273"</f>
        <v>9781584282273</v>
      </c>
      <c r="S2509" t="str">
        <f>"9781608950638"</f>
        <v>9781608950638</v>
      </c>
      <c r="T2509">
        <v>614435332</v>
      </c>
    </row>
    <row r="2510" spans="1:20" x14ac:dyDescent="0.25">
      <c r="A2510">
        <v>315891</v>
      </c>
      <c r="B2510" t="s">
        <v>12270</v>
      </c>
      <c r="D2510" t="s">
        <v>1151</v>
      </c>
      <c r="E2510" t="s">
        <v>8755</v>
      </c>
      <c r="F2510">
        <v>2008</v>
      </c>
      <c r="G2510" t="s">
        <v>12271</v>
      </c>
      <c r="H2510" t="s">
        <v>12272</v>
      </c>
      <c r="I2510" t="s">
        <v>12273</v>
      </c>
      <c r="J2510" t="s">
        <v>26</v>
      </c>
      <c r="K2510" t="s">
        <v>27</v>
      </c>
      <c r="L2510" t="b">
        <v>1</v>
      </c>
      <c r="M2510" t="s">
        <v>12274</v>
      </c>
      <c r="N2510" t="str">
        <f>"778.9/2"</f>
        <v>778.9/2</v>
      </c>
      <c r="P2510" t="b">
        <v>0</v>
      </c>
      <c r="R2510" t="str">
        <f>"9781584282259"</f>
        <v>9781584282259</v>
      </c>
      <c r="S2510" t="str">
        <f>"9781608951628"</f>
        <v>9781608951628</v>
      </c>
      <c r="T2510">
        <v>614414016</v>
      </c>
    </row>
    <row r="2511" spans="1:20" x14ac:dyDescent="0.25">
      <c r="A2511">
        <v>315877</v>
      </c>
      <c r="B2511" t="s">
        <v>12275</v>
      </c>
      <c r="D2511" t="s">
        <v>1151</v>
      </c>
      <c r="E2511" t="s">
        <v>8755</v>
      </c>
      <c r="F2511">
        <v>2007</v>
      </c>
      <c r="G2511" t="s">
        <v>12271</v>
      </c>
      <c r="H2511" t="s">
        <v>12276</v>
      </c>
      <c r="I2511" t="s">
        <v>12277</v>
      </c>
      <c r="J2511" t="s">
        <v>26</v>
      </c>
      <c r="K2511" t="s">
        <v>27</v>
      </c>
      <c r="L2511" t="b">
        <v>1</v>
      </c>
      <c r="M2511" t="s">
        <v>12266</v>
      </c>
      <c r="N2511" t="str">
        <f>"778.9/2"</f>
        <v>778.9/2</v>
      </c>
      <c r="P2511" t="b">
        <v>0</v>
      </c>
      <c r="R2511" t="str">
        <f>"9781584282075"</f>
        <v>9781584282075</v>
      </c>
      <c r="S2511" t="str">
        <f>"9781584285205"</f>
        <v>9781584285205</v>
      </c>
      <c r="T2511">
        <v>615592772</v>
      </c>
    </row>
    <row r="2512" spans="1:20" x14ac:dyDescent="0.25">
      <c r="A2512">
        <v>315875</v>
      </c>
      <c r="B2512" t="s">
        <v>12278</v>
      </c>
      <c r="C2512" t="s">
        <v>12279</v>
      </c>
      <c r="D2512" t="s">
        <v>1151</v>
      </c>
      <c r="E2512" t="s">
        <v>8755</v>
      </c>
      <c r="F2512">
        <v>2007</v>
      </c>
      <c r="G2512" t="s">
        <v>12280</v>
      </c>
      <c r="H2512" t="s">
        <v>12281</v>
      </c>
      <c r="I2512" t="s">
        <v>12282</v>
      </c>
      <c r="J2512" t="s">
        <v>26</v>
      </c>
      <c r="K2512" t="s">
        <v>27</v>
      </c>
      <c r="L2512" t="b">
        <v>1</v>
      </c>
      <c r="M2512" t="s">
        <v>12283</v>
      </c>
      <c r="N2512" t="str">
        <f>"778.6"</f>
        <v>778.6</v>
      </c>
      <c r="P2512" t="b">
        <v>0</v>
      </c>
      <c r="R2512" t="str">
        <f>"9781584282044"</f>
        <v>9781584282044</v>
      </c>
      <c r="S2512" t="str">
        <f>"9781584283652"</f>
        <v>9781584283652</v>
      </c>
      <c r="T2512">
        <v>613958690</v>
      </c>
    </row>
    <row r="2513" spans="1:20" x14ac:dyDescent="0.25">
      <c r="A2513">
        <v>315871</v>
      </c>
      <c r="B2513" t="s">
        <v>12284</v>
      </c>
      <c r="D2513" t="s">
        <v>1151</v>
      </c>
      <c r="E2513" t="s">
        <v>8755</v>
      </c>
      <c r="F2513">
        <v>2007</v>
      </c>
      <c r="G2513" t="s">
        <v>8761</v>
      </c>
      <c r="H2513" t="s">
        <v>12285</v>
      </c>
      <c r="I2513" t="s">
        <v>12286</v>
      </c>
      <c r="J2513" t="s">
        <v>26</v>
      </c>
      <c r="K2513" t="s">
        <v>27</v>
      </c>
      <c r="L2513" t="b">
        <v>1</v>
      </c>
      <c r="M2513" t="s">
        <v>12287</v>
      </c>
      <c r="N2513" t="str">
        <f>"775"</f>
        <v>775</v>
      </c>
      <c r="P2513" t="b">
        <v>0</v>
      </c>
      <c r="R2513" t="str">
        <f>"9781584282006"</f>
        <v>9781584282006</v>
      </c>
      <c r="S2513" t="str">
        <f>"9781608950034"</f>
        <v>9781608950034</v>
      </c>
      <c r="T2513">
        <v>613394436</v>
      </c>
    </row>
    <row r="2514" spans="1:20" x14ac:dyDescent="0.25">
      <c r="A2514">
        <v>315869</v>
      </c>
      <c r="B2514" t="s">
        <v>12288</v>
      </c>
      <c r="D2514" t="s">
        <v>1151</v>
      </c>
      <c r="E2514" t="s">
        <v>8755</v>
      </c>
      <c r="F2514">
        <v>2007</v>
      </c>
      <c r="G2514" t="s">
        <v>12289</v>
      </c>
      <c r="H2514" t="s">
        <v>12290</v>
      </c>
      <c r="I2514" t="s">
        <v>12291</v>
      </c>
      <c r="J2514" t="s">
        <v>26</v>
      </c>
      <c r="K2514" t="s">
        <v>27</v>
      </c>
      <c r="L2514" t="b">
        <v>1</v>
      </c>
      <c r="M2514" t="s">
        <v>12292</v>
      </c>
      <c r="N2514" t="str">
        <f>"778.7"</f>
        <v>778.7</v>
      </c>
      <c r="P2514" t="b">
        <v>0</v>
      </c>
      <c r="R2514" t="str">
        <f>"9781584281986"</f>
        <v>9781584281986</v>
      </c>
      <c r="S2514" t="str">
        <f>"9781608951369"</f>
        <v>9781608951369</v>
      </c>
      <c r="T2514">
        <v>613958746</v>
      </c>
    </row>
    <row r="2515" spans="1:20" x14ac:dyDescent="0.25">
      <c r="A2515">
        <v>315867</v>
      </c>
      <c r="B2515" t="s">
        <v>12293</v>
      </c>
      <c r="D2515" t="s">
        <v>1151</v>
      </c>
      <c r="E2515" t="s">
        <v>8755</v>
      </c>
      <c r="F2515">
        <v>2006</v>
      </c>
      <c r="G2515" t="s">
        <v>8761</v>
      </c>
      <c r="H2515" t="s">
        <v>12294</v>
      </c>
      <c r="I2515" t="s">
        <v>12295</v>
      </c>
      <c r="J2515" t="s">
        <v>26</v>
      </c>
      <c r="K2515" t="s">
        <v>27</v>
      </c>
      <c r="L2515" t="b">
        <v>1</v>
      </c>
      <c r="M2515" t="s">
        <v>12296</v>
      </c>
      <c r="N2515" t="str">
        <f>"775"</f>
        <v>775</v>
      </c>
      <c r="P2515" t="b">
        <v>0</v>
      </c>
      <c r="R2515" t="str">
        <f>"9781584281962"</f>
        <v>9781584281962</v>
      </c>
      <c r="S2515" t="str">
        <f>"9781584283713"</f>
        <v>9781584283713</v>
      </c>
      <c r="T2515">
        <v>613974495</v>
      </c>
    </row>
    <row r="2516" spans="1:20" x14ac:dyDescent="0.25">
      <c r="A2516">
        <v>315859</v>
      </c>
      <c r="B2516" t="s">
        <v>12297</v>
      </c>
      <c r="D2516" t="s">
        <v>1151</v>
      </c>
      <c r="E2516" t="s">
        <v>8755</v>
      </c>
      <c r="F2516">
        <v>2006</v>
      </c>
      <c r="G2516" t="s">
        <v>12298</v>
      </c>
      <c r="H2516" t="s">
        <v>12299</v>
      </c>
      <c r="I2516" t="s">
        <v>8763</v>
      </c>
      <c r="J2516" t="s">
        <v>26</v>
      </c>
      <c r="K2516" t="s">
        <v>27</v>
      </c>
      <c r="L2516" t="b">
        <v>1</v>
      </c>
      <c r="M2516" t="s">
        <v>8969</v>
      </c>
      <c r="N2516" t="str">
        <f>"006.6/869"</f>
        <v>006.6/869</v>
      </c>
      <c r="P2516" t="b">
        <v>0</v>
      </c>
      <c r="R2516" t="str">
        <f>"9781584281870"</f>
        <v>9781584281870</v>
      </c>
      <c r="S2516" t="str">
        <f>"9781584284888"</f>
        <v>9781584284888</v>
      </c>
      <c r="T2516">
        <v>613398442</v>
      </c>
    </row>
    <row r="2517" spans="1:20" x14ac:dyDescent="0.25">
      <c r="A2517">
        <v>315853</v>
      </c>
      <c r="B2517" t="s">
        <v>12300</v>
      </c>
      <c r="D2517" t="s">
        <v>1151</v>
      </c>
      <c r="E2517" t="s">
        <v>8755</v>
      </c>
      <c r="F2517">
        <v>2006</v>
      </c>
      <c r="G2517" t="s">
        <v>8761</v>
      </c>
      <c r="H2517" t="s">
        <v>12301</v>
      </c>
      <c r="I2517" t="s">
        <v>12302</v>
      </c>
      <c r="J2517" t="s">
        <v>26</v>
      </c>
      <c r="K2517" t="s">
        <v>27</v>
      </c>
      <c r="L2517" t="b">
        <v>1</v>
      </c>
      <c r="M2517" t="s">
        <v>12303</v>
      </c>
      <c r="N2517" t="str">
        <f>"775"</f>
        <v>775</v>
      </c>
      <c r="P2517" t="b">
        <v>0</v>
      </c>
      <c r="R2517" t="str">
        <f>"9781584281740"</f>
        <v>9781584281740</v>
      </c>
      <c r="S2517" t="str">
        <f>"9781608951673"</f>
        <v>9781608951673</v>
      </c>
      <c r="T2517">
        <v>613958925</v>
      </c>
    </row>
    <row r="2518" spans="1:20" x14ac:dyDescent="0.25">
      <c r="A2518">
        <v>315852</v>
      </c>
      <c r="B2518" t="s">
        <v>12304</v>
      </c>
      <c r="D2518" t="s">
        <v>1151</v>
      </c>
      <c r="E2518" t="s">
        <v>8755</v>
      </c>
      <c r="F2518">
        <v>2006</v>
      </c>
      <c r="G2518" t="s">
        <v>8761</v>
      </c>
      <c r="H2518" t="s">
        <v>12305</v>
      </c>
      <c r="I2518" t="s">
        <v>12306</v>
      </c>
      <c r="J2518" t="s">
        <v>26</v>
      </c>
      <c r="K2518" t="s">
        <v>27</v>
      </c>
      <c r="L2518" t="b">
        <v>1</v>
      </c>
      <c r="M2518" t="s">
        <v>12307</v>
      </c>
      <c r="N2518" t="str">
        <f>"775"</f>
        <v>775</v>
      </c>
      <c r="P2518" t="b">
        <v>0</v>
      </c>
      <c r="R2518" t="str">
        <f>"9781584281733"</f>
        <v>9781584281733</v>
      </c>
      <c r="S2518" t="str">
        <f>"9781584285212"</f>
        <v>9781584285212</v>
      </c>
      <c r="T2518">
        <v>614389618</v>
      </c>
    </row>
    <row r="2519" spans="1:20" x14ac:dyDescent="0.25">
      <c r="A2519">
        <v>315848</v>
      </c>
      <c r="B2519" t="s">
        <v>12308</v>
      </c>
      <c r="C2519" t="s">
        <v>12309</v>
      </c>
      <c r="D2519" t="s">
        <v>1151</v>
      </c>
      <c r="E2519" t="s">
        <v>8755</v>
      </c>
      <c r="F2519">
        <v>2006</v>
      </c>
      <c r="G2519" t="s">
        <v>12289</v>
      </c>
      <c r="H2519" t="s">
        <v>12310</v>
      </c>
      <c r="I2519" t="s">
        <v>12311</v>
      </c>
      <c r="J2519" t="s">
        <v>26</v>
      </c>
      <c r="K2519" t="s">
        <v>27</v>
      </c>
      <c r="L2519" t="b">
        <v>1</v>
      </c>
      <c r="M2519" t="s">
        <v>12266</v>
      </c>
      <c r="N2519" t="str">
        <f>"778.7/2"</f>
        <v>778.7/2</v>
      </c>
      <c r="O2519" t="s">
        <v>12312</v>
      </c>
      <c r="P2519" t="b">
        <v>0</v>
      </c>
      <c r="R2519" t="str">
        <f>"9781584281689"</f>
        <v>9781584281689</v>
      </c>
      <c r="S2519" t="str">
        <f>"9781608951376"</f>
        <v>9781608951376</v>
      </c>
      <c r="T2519">
        <v>613984431</v>
      </c>
    </row>
    <row r="2520" spans="1:20" x14ac:dyDescent="0.25">
      <c r="A2520">
        <v>315847</v>
      </c>
      <c r="B2520" t="s">
        <v>12313</v>
      </c>
      <c r="C2520" t="s">
        <v>12314</v>
      </c>
      <c r="D2520" t="s">
        <v>1151</v>
      </c>
      <c r="E2520" t="s">
        <v>8755</v>
      </c>
      <c r="F2520">
        <v>2005</v>
      </c>
      <c r="G2520" t="s">
        <v>12289</v>
      </c>
      <c r="H2520" t="s">
        <v>12315</v>
      </c>
      <c r="I2520" t="s">
        <v>12316</v>
      </c>
      <c r="J2520" t="s">
        <v>26</v>
      </c>
      <c r="K2520" t="s">
        <v>27</v>
      </c>
      <c r="L2520" t="b">
        <v>1</v>
      </c>
      <c r="M2520" t="s">
        <v>12317</v>
      </c>
      <c r="N2520" t="str">
        <f>"778.7/3"</f>
        <v>778.7/3</v>
      </c>
      <c r="P2520" t="b">
        <v>0</v>
      </c>
      <c r="R2520" t="str">
        <f>"9781584281672"</f>
        <v>9781584281672</v>
      </c>
      <c r="S2520" t="str">
        <f>"9781608950065"</f>
        <v>9781608950065</v>
      </c>
      <c r="T2520">
        <v>613830156</v>
      </c>
    </row>
    <row r="2521" spans="1:20" x14ac:dyDescent="0.25">
      <c r="A2521">
        <v>315845</v>
      </c>
      <c r="B2521" t="s">
        <v>12318</v>
      </c>
      <c r="D2521" t="s">
        <v>1151</v>
      </c>
      <c r="E2521" t="s">
        <v>8755</v>
      </c>
      <c r="F2521">
        <v>2006</v>
      </c>
      <c r="G2521" t="s">
        <v>8761</v>
      </c>
      <c r="H2521" t="s">
        <v>12319</v>
      </c>
      <c r="I2521" t="s">
        <v>12286</v>
      </c>
      <c r="J2521" t="s">
        <v>26</v>
      </c>
      <c r="K2521" t="s">
        <v>27</v>
      </c>
      <c r="L2521" t="b">
        <v>1</v>
      </c>
      <c r="M2521" t="s">
        <v>12320</v>
      </c>
      <c r="N2521" t="str">
        <f>"775"</f>
        <v>775</v>
      </c>
      <c r="P2521" t="b">
        <v>0</v>
      </c>
      <c r="R2521" t="str">
        <f>"9781584281658"</f>
        <v>9781584281658</v>
      </c>
      <c r="S2521" t="str">
        <f>"9781584284765"</f>
        <v>9781584284765</v>
      </c>
      <c r="T2521">
        <v>614389784</v>
      </c>
    </row>
    <row r="2522" spans="1:20" x14ac:dyDescent="0.25">
      <c r="A2522">
        <v>315843</v>
      </c>
      <c r="B2522" t="s">
        <v>12321</v>
      </c>
      <c r="D2522" t="s">
        <v>1151</v>
      </c>
      <c r="E2522" t="s">
        <v>8755</v>
      </c>
      <c r="F2522">
        <v>2005</v>
      </c>
      <c r="G2522" t="s">
        <v>12271</v>
      </c>
      <c r="H2522" t="s">
        <v>12322</v>
      </c>
      <c r="I2522" t="s">
        <v>12323</v>
      </c>
      <c r="J2522" t="s">
        <v>26</v>
      </c>
      <c r="K2522" t="s">
        <v>27</v>
      </c>
      <c r="L2522" t="b">
        <v>1</v>
      </c>
      <c r="M2522" t="s">
        <v>12266</v>
      </c>
      <c r="N2522" t="str">
        <f>"778.9/26"</f>
        <v>778.9/26</v>
      </c>
      <c r="P2522" t="b">
        <v>0</v>
      </c>
      <c r="R2522" t="str">
        <f>"9781584281597"</f>
        <v>9781584281597</v>
      </c>
      <c r="S2522" t="str">
        <f>"9781608950874"</f>
        <v>9781608950874</v>
      </c>
      <c r="T2522">
        <v>614420714</v>
      </c>
    </row>
    <row r="2523" spans="1:20" x14ac:dyDescent="0.25">
      <c r="A2523">
        <v>315841</v>
      </c>
      <c r="B2523" t="s">
        <v>12324</v>
      </c>
      <c r="C2523" t="s">
        <v>12325</v>
      </c>
      <c r="D2523" t="s">
        <v>1151</v>
      </c>
      <c r="E2523" t="s">
        <v>8755</v>
      </c>
      <c r="F2523">
        <v>2004</v>
      </c>
      <c r="G2523" t="s">
        <v>12271</v>
      </c>
      <c r="H2523" t="s">
        <v>12326</v>
      </c>
      <c r="I2523" t="s">
        <v>12327</v>
      </c>
      <c r="J2523" t="s">
        <v>26</v>
      </c>
      <c r="K2523" t="s">
        <v>27</v>
      </c>
      <c r="L2523" t="b">
        <v>1</v>
      </c>
      <c r="M2523" t="s">
        <v>12274</v>
      </c>
      <c r="N2523" t="str">
        <f>"778.9/2"</f>
        <v>778.9/2</v>
      </c>
      <c r="P2523" t="b">
        <v>0</v>
      </c>
      <c r="R2523" t="str">
        <f>"9781584281344"</f>
        <v>9781584281344</v>
      </c>
      <c r="S2523" t="str">
        <f>"9781584282952"</f>
        <v>9781584282952</v>
      </c>
      <c r="T2523">
        <v>613984468</v>
      </c>
    </row>
    <row r="2524" spans="1:20" x14ac:dyDescent="0.25">
      <c r="A2524">
        <v>315840</v>
      </c>
      <c r="B2524" t="s">
        <v>12328</v>
      </c>
      <c r="C2524" t="s">
        <v>12329</v>
      </c>
      <c r="D2524" t="s">
        <v>1151</v>
      </c>
      <c r="E2524" t="s">
        <v>8755</v>
      </c>
      <c r="F2524">
        <v>2004</v>
      </c>
      <c r="G2524" t="s">
        <v>12289</v>
      </c>
      <c r="H2524" t="s">
        <v>12330</v>
      </c>
      <c r="I2524" t="s">
        <v>12311</v>
      </c>
      <c r="J2524" t="s">
        <v>26</v>
      </c>
      <c r="K2524" t="s">
        <v>27</v>
      </c>
      <c r="L2524" t="b">
        <v>1</v>
      </c>
      <c r="M2524" t="s">
        <v>12331</v>
      </c>
      <c r="N2524" t="str">
        <f>"778.7/2"</f>
        <v>778.7/2</v>
      </c>
      <c r="P2524" t="b">
        <v>0</v>
      </c>
      <c r="R2524" t="str">
        <f>"9781584281337"</f>
        <v>9781584281337</v>
      </c>
      <c r="S2524" t="str">
        <f>"9781584285007"</f>
        <v>9781584285007</v>
      </c>
      <c r="T2524">
        <v>613944524</v>
      </c>
    </row>
    <row r="2525" spans="1:20" x14ac:dyDescent="0.25">
      <c r="A2525">
        <v>315839</v>
      </c>
      <c r="B2525" t="s">
        <v>12332</v>
      </c>
      <c r="C2525" t="s">
        <v>12333</v>
      </c>
      <c r="D2525" t="s">
        <v>1151</v>
      </c>
      <c r="E2525" t="s">
        <v>8755</v>
      </c>
      <c r="F2525">
        <v>2004</v>
      </c>
      <c r="G2525" t="s">
        <v>12271</v>
      </c>
      <c r="H2525" t="s">
        <v>12334</v>
      </c>
      <c r="I2525" t="s">
        <v>12335</v>
      </c>
      <c r="J2525" t="s">
        <v>26</v>
      </c>
      <c r="K2525" t="s">
        <v>27</v>
      </c>
      <c r="L2525" t="b">
        <v>1</v>
      </c>
      <c r="M2525" t="s">
        <v>12336</v>
      </c>
      <c r="N2525" t="str">
        <f>"778.9/2"</f>
        <v>778.9/2</v>
      </c>
      <c r="O2525" t="s">
        <v>12337</v>
      </c>
      <c r="P2525" t="b">
        <v>0</v>
      </c>
      <c r="R2525" t="str">
        <f>"9781584281320"</f>
        <v>9781584281320</v>
      </c>
      <c r="S2525" t="str">
        <f>"9781584285540"</f>
        <v>9781584285540</v>
      </c>
      <c r="T2525">
        <v>613830178</v>
      </c>
    </row>
    <row r="2526" spans="1:20" x14ac:dyDescent="0.25">
      <c r="A2526">
        <v>315834</v>
      </c>
      <c r="B2526" t="s">
        <v>12338</v>
      </c>
      <c r="C2526" t="s">
        <v>12339</v>
      </c>
      <c r="D2526" t="s">
        <v>1151</v>
      </c>
      <c r="E2526" t="s">
        <v>8755</v>
      </c>
      <c r="F2526">
        <v>2002</v>
      </c>
      <c r="G2526" t="s">
        <v>12271</v>
      </c>
      <c r="H2526" t="s">
        <v>12340</v>
      </c>
      <c r="I2526" t="s">
        <v>12341</v>
      </c>
      <c r="J2526" t="s">
        <v>26</v>
      </c>
      <c r="K2526" t="s">
        <v>27</v>
      </c>
      <c r="L2526" t="b">
        <v>1</v>
      </c>
      <c r="M2526" t="s">
        <v>12342</v>
      </c>
      <c r="N2526" t="str">
        <f>"778.9/2"</f>
        <v>778.9/2</v>
      </c>
      <c r="P2526" t="b">
        <v>0</v>
      </c>
      <c r="R2526" t="str">
        <f>"9781584280576"</f>
        <v>9781584280576</v>
      </c>
      <c r="S2526" t="str">
        <f>"9781608952069"</f>
        <v>9781608952069</v>
      </c>
      <c r="T2526">
        <v>614389669</v>
      </c>
    </row>
    <row r="2527" spans="1:20" x14ac:dyDescent="0.25">
      <c r="A2527">
        <v>315833</v>
      </c>
      <c r="B2527" t="s">
        <v>12343</v>
      </c>
      <c r="D2527" t="s">
        <v>1151</v>
      </c>
      <c r="E2527" t="s">
        <v>8755</v>
      </c>
      <c r="F2527">
        <v>1999</v>
      </c>
      <c r="G2527" t="s">
        <v>12344</v>
      </c>
      <c r="H2527" t="s">
        <v>12345</v>
      </c>
      <c r="I2527" t="s">
        <v>12346</v>
      </c>
      <c r="J2527" t="s">
        <v>26</v>
      </c>
      <c r="K2527" t="s">
        <v>27</v>
      </c>
      <c r="L2527" t="b">
        <v>1</v>
      </c>
      <c r="M2527" t="s">
        <v>12347</v>
      </c>
      <c r="N2527" t="str">
        <f>"778.9/36"</f>
        <v>778.9/36</v>
      </c>
      <c r="P2527" t="b">
        <v>0</v>
      </c>
      <c r="R2527" t="str">
        <f>"9781584280040"</f>
        <v>9781584280040</v>
      </c>
      <c r="S2527" t="str">
        <f>"9781584285090"</f>
        <v>9781584285090</v>
      </c>
      <c r="T2527">
        <v>608693041</v>
      </c>
    </row>
    <row r="2528" spans="1:20" x14ac:dyDescent="0.25">
      <c r="A2528">
        <v>315747</v>
      </c>
      <c r="B2528" t="s">
        <v>12348</v>
      </c>
      <c r="D2528" t="s">
        <v>2269</v>
      </c>
      <c r="E2528" t="s">
        <v>2269</v>
      </c>
      <c r="F2528">
        <v>2009</v>
      </c>
      <c r="G2528" t="s">
        <v>303</v>
      </c>
      <c r="H2528" t="s">
        <v>12349</v>
      </c>
      <c r="I2528" t="s">
        <v>12350</v>
      </c>
      <c r="J2528" t="s">
        <v>26</v>
      </c>
      <c r="K2528" t="s">
        <v>27</v>
      </c>
      <c r="L2528" t="b">
        <v>1</v>
      </c>
      <c r="M2528" t="s">
        <v>12351</v>
      </c>
      <c r="N2528" t="str">
        <f>"667/.9"</f>
        <v>667/.9</v>
      </c>
      <c r="P2528" t="b">
        <v>0</v>
      </c>
      <c r="Q2528" t="b">
        <v>0</v>
      </c>
      <c r="R2528" t="str">
        <f>"9781607411932"</f>
        <v>9781607411932</v>
      </c>
      <c r="S2528" t="str">
        <f>"9781616689926"</f>
        <v>9781616689926</v>
      </c>
      <c r="T2528">
        <v>608691539</v>
      </c>
    </row>
    <row r="2529" spans="1:20" x14ac:dyDescent="0.25">
      <c r="A2529">
        <v>315746</v>
      </c>
      <c r="B2529" t="s">
        <v>12352</v>
      </c>
      <c r="C2529" t="s">
        <v>12353</v>
      </c>
      <c r="D2529" t="s">
        <v>2269</v>
      </c>
      <c r="E2529" t="s">
        <v>2269</v>
      </c>
      <c r="F2529">
        <v>2009</v>
      </c>
      <c r="G2529" t="s">
        <v>9553</v>
      </c>
      <c r="H2529" t="s">
        <v>12354</v>
      </c>
      <c r="I2529" t="s">
        <v>12355</v>
      </c>
      <c r="J2529" t="s">
        <v>26</v>
      </c>
      <c r="K2529" t="s">
        <v>27</v>
      </c>
      <c r="L2529" t="b">
        <v>1</v>
      </c>
      <c r="M2529" t="s">
        <v>12356</v>
      </c>
      <c r="N2529" t="str">
        <f>"620.1/06"</f>
        <v>620.1/06</v>
      </c>
      <c r="P2529" t="b">
        <v>0</v>
      </c>
      <c r="Q2529" t="b">
        <v>0</v>
      </c>
      <c r="R2529" t="str">
        <f>"9781607410379"</f>
        <v>9781607410379</v>
      </c>
      <c r="S2529" t="str">
        <f>"9781616689902"</f>
        <v>9781616689902</v>
      </c>
      <c r="T2529">
        <v>608692460</v>
      </c>
    </row>
    <row r="2530" spans="1:20" x14ac:dyDescent="0.25">
      <c r="A2530">
        <v>315744</v>
      </c>
      <c r="B2530" t="s">
        <v>12357</v>
      </c>
      <c r="C2530" t="s">
        <v>12358</v>
      </c>
      <c r="D2530" t="s">
        <v>2269</v>
      </c>
      <c r="E2530" t="s">
        <v>2269</v>
      </c>
      <c r="F2530">
        <v>2009</v>
      </c>
      <c r="G2530" t="s">
        <v>12359</v>
      </c>
      <c r="H2530" t="s">
        <v>12360</v>
      </c>
      <c r="I2530" t="s">
        <v>12361</v>
      </c>
      <c r="J2530" t="s">
        <v>26</v>
      </c>
      <c r="K2530" t="s">
        <v>27</v>
      </c>
      <c r="L2530" t="b">
        <v>1</v>
      </c>
      <c r="M2530" t="s">
        <v>12362</v>
      </c>
      <c r="N2530" t="str">
        <f>"617.6"</f>
        <v>617.6</v>
      </c>
      <c r="O2530" t="s">
        <v>10693</v>
      </c>
      <c r="P2530" t="b">
        <v>0</v>
      </c>
      <c r="Q2530" t="b">
        <v>0</v>
      </c>
      <c r="R2530" t="str">
        <f>"9781607412816"</f>
        <v>9781607412816</v>
      </c>
      <c r="S2530" t="str">
        <f>"9781616689827"</f>
        <v>9781616689827</v>
      </c>
      <c r="T2530">
        <v>610031033</v>
      </c>
    </row>
    <row r="2531" spans="1:20" x14ac:dyDescent="0.25">
      <c r="A2531">
        <v>315743</v>
      </c>
      <c r="B2531" t="s">
        <v>9790</v>
      </c>
      <c r="C2531" t="s">
        <v>12363</v>
      </c>
      <c r="D2531" t="s">
        <v>2269</v>
      </c>
      <c r="E2531" t="s">
        <v>2269</v>
      </c>
      <c r="F2531">
        <v>2009</v>
      </c>
      <c r="G2531" t="s">
        <v>9791</v>
      </c>
      <c r="H2531" t="s">
        <v>12364</v>
      </c>
      <c r="I2531" t="s">
        <v>9793</v>
      </c>
      <c r="J2531" t="s">
        <v>26</v>
      </c>
      <c r="K2531" t="s">
        <v>27</v>
      </c>
      <c r="L2531" t="b">
        <v>1</v>
      </c>
      <c r="M2531" t="s">
        <v>12365</v>
      </c>
      <c r="N2531" t="str">
        <f>"629.8/92637"</f>
        <v>629.8/92637</v>
      </c>
      <c r="P2531" t="b">
        <v>0</v>
      </c>
      <c r="Q2531" t="b">
        <v>0</v>
      </c>
      <c r="R2531" t="str">
        <f>"9781606920916"</f>
        <v>9781606920916</v>
      </c>
      <c r="S2531" t="str">
        <f>"9781616689810"</f>
        <v>9781616689810</v>
      </c>
      <c r="T2531">
        <v>608691538</v>
      </c>
    </row>
    <row r="2532" spans="1:20" x14ac:dyDescent="0.25">
      <c r="A2532">
        <v>315742</v>
      </c>
      <c r="B2532" t="s">
        <v>12366</v>
      </c>
      <c r="C2532" t="s">
        <v>12367</v>
      </c>
      <c r="D2532" t="s">
        <v>2269</v>
      </c>
      <c r="E2532" t="s">
        <v>2269</v>
      </c>
      <c r="F2532">
        <v>2009</v>
      </c>
      <c r="G2532" t="s">
        <v>7627</v>
      </c>
      <c r="H2532" t="s">
        <v>12368</v>
      </c>
      <c r="I2532" t="s">
        <v>12369</v>
      </c>
      <c r="J2532" t="s">
        <v>26</v>
      </c>
      <c r="K2532" t="s">
        <v>27</v>
      </c>
      <c r="L2532" t="b">
        <v>1</v>
      </c>
      <c r="M2532" t="s">
        <v>12370</v>
      </c>
      <c r="N2532" t="str">
        <f>"612.8/2"</f>
        <v>612.8/2</v>
      </c>
      <c r="O2532" t="s">
        <v>12371</v>
      </c>
      <c r="P2532" t="b">
        <v>0</v>
      </c>
      <c r="Q2532" t="b">
        <v>0</v>
      </c>
      <c r="R2532" t="str">
        <f>"9781607410348"</f>
        <v>9781607410348</v>
      </c>
      <c r="S2532" t="str">
        <f>"9781616689759"</f>
        <v>9781616689759</v>
      </c>
      <c r="T2532">
        <v>608692459</v>
      </c>
    </row>
    <row r="2533" spans="1:20" x14ac:dyDescent="0.25">
      <c r="A2533">
        <v>315740</v>
      </c>
      <c r="B2533" t="s">
        <v>12372</v>
      </c>
      <c r="C2533" t="s">
        <v>12373</v>
      </c>
      <c r="D2533" t="s">
        <v>2269</v>
      </c>
      <c r="E2533" t="s">
        <v>2269</v>
      </c>
      <c r="F2533">
        <v>2009</v>
      </c>
      <c r="G2533" t="s">
        <v>8701</v>
      </c>
      <c r="H2533" t="s">
        <v>12374</v>
      </c>
      <c r="I2533" t="s">
        <v>12375</v>
      </c>
      <c r="J2533" t="s">
        <v>26</v>
      </c>
      <c r="K2533" t="s">
        <v>27</v>
      </c>
      <c r="L2533" t="b">
        <v>1</v>
      </c>
      <c r="M2533" t="s">
        <v>12376</v>
      </c>
      <c r="N2533" t="str">
        <f>"572/.567"</f>
        <v>572/.567</v>
      </c>
      <c r="O2533" t="s">
        <v>11626</v>
      </c>
      <c r="P2533" t="b">
        <v>0</v>
      </c>
      <c r="Q2533" t="b">
        <v>0</v>
      </c>
      <c r="R2533" t="str">
        <f>"9781607411031"</f>
        <v>9781607411031</v>
      </c>
      <c r="S2533" t="str">
        <f>"9781616686321"</f>
        <v>9781616686321</v>
      </c>
      <c r="T2533">
        <v>608693353</v>
      </c>
    </row>
    <row r="2534" spans="1:20" x14ac:dyDescent="0.25">
      <c r="A2534">
        <v>315733</v>
      </c>
      <c r="B2534" t="s">
        <v>12377</v>
      </c>
      <c r="D2534" t="s">
        <v>2269</v>
      </c>
      <c r="E2534" t="s">
        <v>2269</v>
      </c>
      <c r="F2534">
        <v>2009</v>
      </c>
      <c r="G2534" t="s">
        <v>5299</v>
      </c>
      <c r="H2534" t="s">
        <v>12378</v>
      </c>
      <c r="I2534" t="s">
        <v>12379</v>
      </c>
      <c r="J2534" t="s">
        <v>26</v>
      </c>
      <c r="K2534" t="s">
        <v>27</v>
      </c>
      <c r="L2534" t="b">
        <v>1</v>
      </c>
      <c r="M2534" t="s">
        <v>12380</v>
      </c>
      <c r="N2534" t="str">
        <f>"618.3/6"</f>
        <v>618.3/6</v>
      </c>
      <c r="O2534" t="s">
        <v>10973</v>
      </c>
      <c r="P2534" t="b">
        <v>0</v>
      </c>
      <c r="Q2534" t="b">
        <v>0</v>
      </c>
      <c r="R2534" t="str">
        <f>"9781607410386"</f>
        <v>9781607410386</v>
      </c>
      <c r="S2534" t="str">
        <f>"9781616685737"</f>
        <v>9781616685737</v>
      </c>
      <c r="T2534">
        <v>608693029</v>
      </c>
    </row>
    <row r="2535" spans="1:20" x14ac:dyDescent="0.25">
      <c r="A2535">
        <v>315729</v>
      </c>
      <c r="B2535" t="s">
        <v>12381</v>
      </c>
      <c r="D2535" t="s">
        <v>2269</v>
      </c>
      <c r="E2535" t="s">
        <v>8996</v>
      </c>
      <c r="F2535">
        <v>2009</v>
      </c>
      <c r="G2535" t="s">
        <v>12382</v>
      </c>
      <c r="H2535" t="s">
        <v>12383</v>
      </c>
      <c r="I2535" t="s">
        <v>12384</v>
      </c>
      <c r="J2535" t="s">
        <v>26</v>
      </c>
      <c r="K2535" t="s">
        <v>27</v>
      </c>
      <c r="L2535" t="b">
        <v>1</v>
      </c>
      <c r="M2535" t="s">
        <v>12385</v>
      </c>
      <c r="N2535" t="str">
        <f>"615.9"</f>
        <v>615.9</v>
      </c>
      <c r="P2535" t="b">
        <v>0</v>
      </c>
      <c r="Q2535" t="b">
        <v>0</v>
      </c>
      <c r="R2535" t="str">
        <f>"9781607410225"</f>
        <v>9781607410225</v>
      </c>
      <c r="S2535" t="str">
        <f>"9781616684747"</f>
        <v>9781616684747</v>
      </c>
      <c r="T2535">
        <v>608691488</v>
      </c>
    </row>
    <row r="2536" spans="1:20" x14ac:dyDescent="0.25">
      <c r="A2536">
        <v>315728</v>
      </c>
      <c r="B2536" t="s">
        <v>12386</v>
      </c>
      <c r="D2536" t="s">
        <v>2269</v>
      </c>
      <c r="E2536" t="s">
        <v>2269</v>
      </c>
      <c r="F2536">
        <v>2009</v>
      </c>
      <c r="G2536" t="s">
        <v>5739</v>
      </c>
      <c r="H2536" t="s">
        <v>12387</v>
      </c>
      <c r="I2536" t="s">
        <v>12388</v>
      </c>
      <c r="J2536" t="s">
        <v>26</v>
      </c>
      <c r="K2536" t="s">
        <v>27</v>
      </c>
      <c r="L2536" t="b">
        <v>1</v>
      </c>
      <c r="M2536" t="s">
        <v>12389</v>
      </c>
      <c r="N2536" t="str">
        <f>"664/.02"</f>
        <v>664/.02</v>
      </c>
      <c r="O2536" t="s">
        <v>12390</v>
      </c>
      <c r="P2536" t="b">
        <v>0</v>
      </c>
      <c r="Q2536" t="b">
        <v>0</v>
      </c>
      <c r="R2536" t="str">
        <f>"9781607417880"</f>
        <v>9781607417880</v>
      </c>
      <c r="S2536" t="str">
        <f>"9781616684228"</f>
        <v>9781616684228</v>
      </c>
      <c r="T2536">
        <v>608691486</v>
      </c>
    </row>
    <row r="2537" spans="1:20" x14ac:dyDescent="0.25">
      <c r="A2537">
        <v>315727</v>
      </c>
      <c r="B2537" t="s">
        <v>12391</v>
      </c>
      <c r="C2537" t="s">
        <v>12392</v>
      </c>
      <c r="D2537" t="s">
        <v>2269</v>
      </c>
      <c r="E2537" t="s">
        <v>2269</v>
      </c>
      <c r="F2537">
        <v>2009</v>
      </c>
      <c r="G2537" t="s">
        <v>12393</v>
      </c>
      <c r="H2537" t="s">
        <v>12394</v>
      </c>
      <c r="I2537" t="s">
        <v>12395</v>
      </c>
      <c r="J2537" t="s">
        <v>26</v>
      </c>
      <c r="K2537" t="s">
        <v>27</v>
      </c>
      <c r="L2537" t="b">
        <v>1</v>
      </c>
      <c r="M2537" t="s">
        <v>12396</v>
      </c>
      <c r="N2537" t="str">
        <f>"613.089/96073"</f>
        <v>613.089/96073</v>
      </c>
      <c r="P2537" t="b">
        <v>0</v>
      </c>
      <c r="Q2537" t="b">
        <v>0</v>
      </c>
      <c r="R2537" t="str">
        <f>"9781608764532"</f>
        <v>9781608764532</v>
      </c>
      <c r="S2537" t="str">
        <f>"9781616684204"</f>
        <v>9781616684204</v>
      </c>
      <c r="T2537">
        <v>608691485</v>
      </c>
    </row>
    <row r="2538" spans="1:20" x14ac:dyDescent="0.25">
      <c r="A2538">
        <v>315721</v>
      </c>
      <c r="B2538" t="s">
        <v>12397</v>
      </c>
      <c r="D2538" t="s">
        <v>2269</v>
      </c>
      <c r="E2538" t="s">
        <v>2269</v>
      </c>
      <c r="F2538">
        <v>2009</v>
      </c>
      <c r="G2538" t="s">
        <v>9145</v>
      </c>
      <c r="H2538" t="s">
        <v>12398</v>
      </c>
      <c r="I2538" t="s">
        <v>12399</v>
      </c>
      <c r="J2538" t="s">
        <v>26</v>
      </c>
      <c r="K2538" t="s">
        <v>27</v>
      </c>
      <c r="L2538" t="b">
        <v>1</v>
      </c>
      <c r="M2538" t="s">
        <v>12400</v>
      </c>
      <c r="N2538" t="str">
        <f>"613.2"</f>
        <v>613.2</v>
      </c>
      <c r="O2538" t="s">
        <v>12390</v>
      </c>
      <c r="P2538" t="b">
        <v>0</v>
      </c>
      <c r="Q2538" t="b">
        <v>0</v>
      </c>
      <c r="R2538" t="str">
        <f>"9781607418481"</f>
        <v>9781607418481</v>
      </c>
      <c r="S2538" t="str">
        <f>"9781616688530"</f>
        <v>9781616688530</v>
      </c>
      <c r="T2538">
        <v>608693337</v>
      </c>
    </row>
    <row r="2539" spans="1:20" x14ac:dyDescent="0.25">
      <c r="A2539">
        <v>315720</v>
      </c>
      <c r="B2539" t="s">
        <v>12401</v>
      </c>
      <c r="C2539" t="s">
        <v>12402</v>
      </c>
      <c r="D2539" t="s">
        <v>2269</v>
      </c>
      <c r="E2539" t="s">
        <v>2269</v>
      </c>
      <c r="F2539">
        <v>2009</v>
      </c>
      <c r="G2539" t="s">
        <v>8669</v>
      </c>
      <c r="H2539" t="s">
        <v>12403</v>
      </c>
      <c r="I2539" t="s">
        <v>12404</v>
      </c>
      <c r="J2539" t="s">
        <v>26</v>
      </c>
      <c r="K2539" t="s">
        <v>27</v>
      </c>
      <c r="L2539" t="b">
        <v>1</v>
      </c>
      <c r="M2539" t="s">
        <v>12405</v>
      </c>
      <c r="N2539" t="str">
        <f>"616.99/449061"</f>
        <v>616.99/449061</v>
      </c>
      <c r="O2539" t="s">
        <v>10267</v>
      </c>
      <c r="P2539" t="b">
        <v>0</v>
      </c>
      <c r="Q2539" t="b">
        <v>0</v>
      </c>
      <c r="R2539" t="str">
        <f>"9781607417118"</f>
        <v>9781607417118</v>
      </c>
      <c r="S2539" t="str">
        <f>"9781616686659"</f>
        <v>9781616686659</v>
      </c>
      <c r="T2539">
        <v>608691534</v>
      </c>
    </row>
    <row r="2540" spans="1:20" x14ac:dyDescent="0.25">
      <c r="A2540">
        <v>315717</v>
      </c>
      <c r="B2540" t="s">
        <v>12406</v>
      </c>
      <c r="D2540" t="s">
        <v>2269</v>
      </c>
      <c r="E2540" t="s">
        <v>2269</v>
      </c>
      <c r="F2540">
        <v>2009</v>
      </c>
      <c r="G2540" t="s">
        <v>12407</v>
      </c>
      <c r="H2540" t="s">
        <v>12408</v>
      </c>
      <c r="I2540" t="s">
        <v>12409</v>
      </c>
      <c r="J2540" t="s">
        <v>26</v>
      </c>
      <c r="K2540" t="s">
        <v>27</v>
      </c>
      <c r="L2540" t="b">
        <v>1</v>
      </c>
      <c r="M2540" t="s">
        <v>12410</v>
      </c>
      <c r="N2540" t="str">
        <f>"530.14/3"</f>
        <v>530.14/3</v>
      </c>
      <c r="P2540" t="b">
        <v>0</v>
      </c>
      <c r="Q2540" t="b">
        <v>0</v>
      </c>
      <c r="R2540" t="str">
        <f>"9781606921104"</f>
        <v>9781606921104</v>
      </c>
      <c r="S2540" t="str">
        <f>"9781616686581"</f>
        <v>9781616686581</v>
      </c>
      <c r="T2540">
        <v>608691532</v>
      </c>
    </row>
    <row r="2541" spans="1:20" x14ac:dyDescent="0.25">
      <c r="A2541">
        <v>315713</v>
      </c>
      <c r="B2541" t="s">
        <v>12411</v>
      </c>
      <c r="D2541" t="s">
        <v>2269</v>
      </c>
      <c r="E2541" t="s">
        <v>2269</v>
      </c>
      <c r="F2541">
        <v>2009</v>
      </c>
      <c r="G2541" t="s">
        <v>7627</v>
      </c>
      <c r="H2541" t="s">
        <v>12412</v>
      </c>
      <c r="I2541" t="s">
        <v>12413</v>
      </c>
      <c r="J2541" t="s">
        <v>26</v>
      </c>
      <c r="K2541" t="s">
        <v>27</v>
      </c>
      <c r="L2541" t="b">
        <v>1</v>
      </c>
      <c r="M2541" t="s">
        <v>12414</v>
      </c>
      <c r="N2541" t="str">
        <f>"612.8"</f>
        <v>612.8</v>
      </c>
      <c r="P2541" t="b">
        <v>0</v>
      </c>
      <c r="Q2541" t="b">
        <v>0</v>
      </c>
      <c r="R2541" t="str">
        <f>"9781606926345"</f>
        <v>9781606926345</v>
      </c>
      <c r="S2541" t="str">
        <f>"9781616683092"</f>
        <v>9781616683092</v>
      </c>
      <c r="T2541">
        <v>608691529</v>
      </c>
    </row>
    <row r="2542" spans="1:20" x14ac:dyDescent="0.25">
      <c r="A2542">
        <v>315712</v>
      </c>
      <c r="B2542" t="s">
        <v>12415</v>
      </c>
      <c r="C2542" t="s">
        <v>12416</v>
      </c>
      <c r="D2542" t="s">
        <v>2269</v>
      </c>
      <c r="E2542" t="s">
        <v>2269</v>
      </c>
      <c r="F2542">
        <v>2009</v>
      </c>
      <c r="G2542" t="s">
        <v>10129</v>
      </c>
      <c r="H2542" t="s">
        <v>12417</v>
      </c>
      <c r="I2542" t="s">
        <v>12418</v>
      </c>
      <c r="J2542" t="s">
        <v>26</v>
      </c>
      <c r="K2542" t="s">
        <v>27</v>
      </c>
      <c r="L2542" t="b">
        <v>1</v>
      </c>
      <c r="M2542" t="s">
        <v>12419</v>
      </c>
      <c r="N2542" t="str">
        <f>"660/.284235"</f>
        <v>660/.284235</v>
      </c>
      <c r="O2542" t="s">
        <v>12420</v>
      </c>
      <c r="P2542" t="b">
        <v>0</v>
      </c>
      <c r="Q2542" t="b">
        <v>0</v>
      </c>
      <c r="R2542" t="str">
        <f>"9781607418511"</f>
        <v>9781607418511</v>
      </c>
      <c r="S2542" t="str">
        <f>"9781616683085"</f>
        <v>9781616683085</v>
      </c>
      <c r="T2542">
        <v>608692453</v>
      </c>
    </row>
    <row r="2543" spans="1:20" x14ac:dyDescent="0.25">
      <c r="A2543">
        <v>315711</v>
      </c>
      <c r="B2543" t="s">
        <v>12421</v>
      </c>
      <c r="D2543" t="s">
        <v>2269</v>
      </c>
      <c r="E2543" t="s">
        <v>2269</v>
      </c>
      <c r="F2543">
        <v>2009</v>
      </c>
      <c r="G2543" t="s">
        <v>9553</v>
      </c>
      <c r="H2543" t="s">
        <v>12422</v>
      </c>
      <c r="I2543" t="s">
        <v>12423</v>
      </c>
      <c r="J2543" t="s">
        <v>26</v>
      </c>
      <c r="K2543" t="s">
        <v>27</v>
      </c>
      <c r="L2543" t="b">
        <v>1</v>
      </c>
      <c r="M2543" t="s">
        <v>12424</v>
      </c>
      <c r="N2543" t="str">
        <f>"620.1/16"</f>
        <v>620.1/16</v>
      </c>
      <c r="P2543" t="b">
        <v>0</v>
      </c>
      <c r="Q2543" t="b">
        <v>0</v>
      </c>
      <c r="R2543" t="str">
        <f>"9781606924358"</f>
        <v>9781606924358</v>
      </c>
      <c r="S2543" t="str">
        <f>"9781616683023"</f>
        <v>9781616683023</v>
      </c>
      <c r="T2543">
        <v>608691528</v>
      </c>
    </row>
    <row r="2544" spans="1:20" x14ac:dyDescent="0.25">
      <c r="A2544">
        <v>315709</v>
      </c>
      <c r="B2544" t="s">
        <v>12425</v>
      </c>
      <c r="C2544" t="s">
        <v>12426</v>
      </c>
      <c r="D2544" t="s">
        <v>2269</v>
      </c>
      <c r="E2544" t="s">
        <v>2269</v>
      </c>
      <c r="F2544">
        <v>2009</v>
      </c>
      <c r="G2544" t="s">
        <v>5823</v>
      </c>
      <c r="H2544" t="s">
        <v>12427</v>
      </c>
      <c r="I2544" t="s">
        <v>12428</v>
      </c>
      <c r="J2544" t="s">
        <v>26</v>
      </c>
      <c r="K2544" t="s">
        <v>27</v>
      </c>
      <c r="L2544" t="b">
        <v>1</v>
      </c>
      <c r="M2544" t="s">
        <v>12429</v>
      </c>
      <c r="N2544" t="str">
        <f>"579.3/9"</f>
        <v>579.3/9</v>
      </c>
      <c r="O2544" t="s">
        <v>12430</v>
      </c>
      <c r="P2544" t="b">
        <v>0</v>
      </c>
      <c r="Q2544" t="b">
        <v>0</v>
      </c>
      <c r="R2544" t="str">
        <f>"9781607410928"</f>
        <v>9781607410928</v>
      </c>
      <c r="S2544" t="str">
        <f>"9781616683009"</f>
        <v>9781616683009</v>
      </c>
      <c r="T2544">
        <v>608691527</v>
      </c>
    </row>
    <row r="2545" spans="1:20" x14ac:dyDescent="0.25">
      <c r="A2545">
        <v>315707</v>
      </c>
      <c r="B2545" t="s">
        <v>12431</v>
      </c>
      <c r="C2545" t="s">
        <v>12432</v>
      </c>
      <c r="D2545" t="s">
        <v>2269</v>
      </c>
      <c r="E2545" t="s">
        <v>2269</v>
      </c>
      <c r="F2545">
        <v>2009</v>
      </c>
      <c r="G2545" t="s">
        <v>9543</v>
      </c>
      <c r="H2545" t="s">
        <v>12433</v>
      </c>
      <c r="I2545" t="s">
        <v>12434</v>
      </c>
      <c r="J2545" t="s">
        <v>26</v>
      </c>
      <c r="K2545" t="s">
        <v>27</v>
      </c>
      <c r="L2545" t="b">
        <v>1</v>
      </c>
      <c r="M2545" t="s">
        <v>12435</v>
      </c>
      <c r="N2545" t="str">
        <f>"620/.5"</f>
        <v>620/.5</v>
      </c>
      <c r="O2545" t="s">
        <v>10849</v>
      </c>
      <c r="P2545" t="b">
        <v>0</v>
      </c>
      <c r="Q2545" t="b">
        <v>0</v>
      </c>
      <c r="R2545" t="str">
        <f>"9781607419471"</f>
        <v>9781607419471</v>
      </c>
      <c r="S2545" t="str">
        <f>"9781616682880"</f>
        <v>9781616682880</v>
      </c>
      <c r="T2545">
        <v>608691526</v>
      </c>
    </row>
    <row r="2546" spans="1:20" x14ac:dyDescent="0.25">
      <c r="A2546">
        <v>315705</v>
      </c>
      <c r="B2546" t="s">
        <v>12436</v>
      </c>
      <c r="C2546" t="s">
        <v>12437</v>
      </c>
      <c r="D2546" t="s">
        <v>2269</v>
      </c>
      <c r="E2546" t="s">
        <v>2269</v>
      </c>
      <c r="F2546">
        <v>2009</v>
      </c>
      <c r="G2546" t="s">
        <v>10185</v>
      </c>
      <c r="H2546" t="s">
        <v>12438</v>
      </c>
      <c r="I2546" t="s">
        <v>12439</v>
      </c>
      <c r="J2546" t="s">
        <v>26</v>
      </c>
      <c r="K2546" t="s">
        <v>27</v>
      </c>
      <c r="L2546" t="b">
        <v>1</v>
      </c>
      <c r="M2546" t="s">
        <v>12440</v>
      </c>
      <c r="N2546" t="str">
        <f>"621.381"</f>
        <v>621.381</v>
      </c>
      <c r="P2546" t="b">
        <v>0</v>
      </c>
      <c r="Q2546" t="b">
        <v>0</v>
      </c>
      <c r="R2546" t="str">
        <f>"9781604567342"</f>
        <v>9781604567342</v>
      </c>
      <c r="S2546" t="str">
        <f>"9781616682798"</f>
        <v>9781616682798</v>
      </c>
      <c r="T2546">
        <v>608692449</v>
      </c>
    </row>
    <row r="2547" spans="1:20" x14ac:dyDescent="0.25">
      <c r="A2547">
        <v>315704</v>
      </c>
      <c r="B2547" t="s">
        <v>12441</v>
      </c>
      <c r="C2547" t="s">
        <v>7373</v>
      </c>
      <c r="D2547" t="s">
        <v>2269</v>
      </c>
      <c r="E2547" t="s">
        <v>2269</v>
      </c>
      <c r="F2547">
        <v>2009</v>
      </c>
      <c r="G2547" t="s">
        <v>12442</v>
      </c>
      <c r="H2547" t="s">
        <v>12443</v>
      </c>
      <c r="I2547" t="s">
        <v>12444</v>
      </c>
      <c r="J2547" t="s">
        <v>26</v>
      </c>
      <c r="K2547" t="s">
        <v>27</v>
      </c>
      <c r="L2547" t="b">
        <v>1</v>
      </c>
      <c r="M2547" t="s">
        <v>12445</v>
      </c>
      <c r="N2547" t="str">
        <f>"539.7/2167"</f>
        <v>539.7/2167</v>
      </c>
      <c r="O2547" t="s">
        <v>10482</v>
      </c>
      <c r="P2547" t="b">
        <v>0</v>
      </c>
      <c r="Q2547" t="b">
        <v>0</v>
      </c>
      <c r="R2547" t="str">
        <f>"9781604568028"</f>
        <v>9781604568028</v>
      </c>
      <c r="S2547" t="str">
        <f>"9781616682781"</f>
        <v>9781616682781</v>
      </c>
      <c r="T2547">
        <v>611570374</v>
      </c>
    </row>
    <row r="2548" spans="1:20" x14ac:dyDescent="0.25">
      <c r="A2548">
        <v>315703</v>
      </c>
      <c r="B2548" t="s">
        <v>12446</v>
      </c>
      <c r="C2548" t="s">
        <v>12447</v>
      </c>
      <c r="D2548" t="s">
        <v>2269</v>
      </c>
      <c r="E2548" t="s">
        <v>2269</v>
      </c>
      <c r="F2548">
        <v>2009</v>
      </c>
      <c r="G2548" t="s">
        <v>5739</v>
      </c>
      <c r="H2548" t="s">
        <v>12448</v>
      </c>
      <c r="I2548" t="s">
        <v>12449</v>
      </c>
      <c r="J2548" t="s">
        <v>26</v>
      </c>
      <c r="K2548" t="s">
        <v>27</v>
      </c>
      <c r="L2548" t="b">
        <v>1</v>
      </c>
      <c r="M2548" t="s">
        <v>12450</v>
      </c>
      <c r="N2548" t="str">
        <f>"664.00951"</f>
        <v>664.00951</v>
      </c>
      <c r="O2548" t="s">
        <v>12390</v>
      </c>
      <c r="P2548" t="b">
        <v>0</v>
      </c>
      <c r="Q2548" t="b">
        <v>0</v>
      </c>
      <c r="R2548" t="str">
        <f>"9781606929025"</f>
        <v>9781606929025</v>
      </c>
      <c r="S2548" t="str">
        <f>"9781616682774"</f>
        <v>9781616682774</v>
      </c>
      <c r="T2548">
        <v>608691524</v>
      </c>
    </row>
    <row r="2549" spans="1:20" x14ac:dyDescent="0.25">
      <c r="A2549">
        <v>315702</v>
      </c>
      <c r="B2549" t="s">
        <v>12451</v>
      </c>
      <c r="D2549" t="s">
        <v>2269</v>
      </c>
      <c r="E2549" t="s">
        <v>2269</v>
      </c>
      <c r="F2549">
        <v>2009</v>
      </c>
      <c r="G2549" t="s">
        <v>8981</v>
      </c>
      <c r="H2549" t="s">
        <v>12452</v>
      </c>
      <c r="I2549" t="s">
        <v>12453</v>
      </c>
      <c r="J2549" t="s">
        <v>26</v>
      </c>
      <c r="K2549" t="s">
        <v>27</v>
      </c>
      <c r="L2549" t="b">
        <v>1</v>
      </c>
      <c r="M2549" t="s">
        <v>12454</v>
      </c>
      <c r="N2549" t="str">
        <f>"616.07/9"</f>
        <v>616.07/9</v>
      </c>
      <c r="O2549" t="s">
        <v>11957</v>
      </c>
      <c r="P2549" t="b">
        <v>0</v>
      </c>
      <c r="Q2549" t="b">
        <v>0</v>
      </c>
      <c r="R2549" t="str">
        <f>"9781607417088"</f>
        <v>9781607417088</v>
      </c>
      <c r="S2549" t="str">
        <f>"9781616682767"</f>
        <v>9781616682767</v>
      </c>
      <c r="T2549">
        <v>608693253</v>
      </c>
    </row>
    <row r="2550" spans="1:20" x14ac:dyDescent="0.25">
      <c r="A2550">
        <v>315701</v>
      </c>
      <c r="B2550" t="s">
        <v>12455</v>
      </c>
      <c r="D2550" t="s">
        <v>2269</v>
      </c>
      <c r="E2550" t="s">
        <v>2269</v>
      </c>
      <c r="F2550">
        <v>2009</v>
      </c>
      <c r="G2550" t="s">
        <v>8293</v>
      </c>
      <c r="H2550" t="s">
        <v>12456</v>
      </c>
      <c r="I2550" t="s">
        <v>12457</v>
      </c>
      <c r="J2550" t="s">
        <v>26</v>
      </c>
      <c r="K2550" t="s">
        <v>27</v>
      </c>
      <c r="L2550" t="b">
        <v>1</v>
      </c>
      <c r="M2550" t="s">
        <v>12458</v>
      </c>
      <c r="N2550" t="str">
        <f>"628.1/62"</f>
        <v>628.1/62</v>
      </c>
      <c r="O2550" t="s">
        <v>9005</v>
      </c>
      <c r="P2550" t="b">
        <v>0</v>
      </c>
      <c r="Q2550" t="b">
        <v>0</v>
      </c>
      <c r="R2550" t="str">
        <f>"9781607415992"</f>
        <v>9781607415992</v>
      </c>
      <c r="S2550" t="str">
        <f>"9781616682750"</f>
        <v>9781616682750</v>
      </c>
      <c r="T2550">
        <v>608692448</v>
      </c>
    </row>
    <row r="2551" spans="1:20" x14ac:dyDescent="0.25">
      <c r="A2551">
        <v>315699</v>
      </c>
      <c r="B2551" t="s">
        <v>12459</v>
      </c>
      <c r="D2551" t="s">
        <v>2269</v>
      </c>
      <c r="E2551" t="s">
        <v>2269</v>
      </c>
      <c r="F2551">
        <v>2009</v>
      </c>
      <c r="G2551" t="s">
        <v>11687</v>
      </c>
      <c r="H2551" t="s">
        <v>12460</v>
      </c>
      <c r="I2551" t="s">
        <v>12461</v>
      </c>
      <c r="J2551" t="s">
        <v>26</v>
      </c>
      <c r="K2551" t="s">
        <v>27</v>
      </c>
      <c r="L2551" t="b">
        <v>1</v>
      </c>
      <c r="M2551" t="s">
        <v>12462</v>
      </c>
      <c r="N2551" t="str">
        <f>"537/.24"</f>
        <v>537/.24</v>
      </c>
      <c r="P2551" t="b">
        <v>0</v>
      </c>
      <c r="Q2551" t="b">
        <v>0</v>
      </c>
      <c r="R2551" t="str">
        <f>"9781606922668"</f>
        <v>9781606922668</v>
      </c>
      <c r="S2551" t="str">
        <f>"9781616682705"</f>
        <v>9781616682705</v>
      </c>
      <c r="T2551">
        <v>608692447</v>
      </c>
    </row>
    <row r="2552" spans="1:20" x14ac:dyDescent="0.25">
      <c r="A2552">
        <v>315697</v>
      </c>
      <c r="B2552" t="s">
        <v>12463</v>
      </c>
      <c r="C2552" t="s">
        <v>12464</v>
      </c>
      <c r="D2552" t="s">
        <v>2269</v>
      </c>
      <c r="E2552" t="s">
        <v>2269</v>
      </c>
      <c r="F2552">
        <v>2009</v>
      </c>
      <c r="G2552" t="s">
        <v>12393</v>
      </c>
      <c r="H2552" t="s">
        <v>12465</v>
      </c>
      <c r="I2552" t="s">
        <v>12466</v>
      </c>
      <c r="J2552" t="s">
        <v>26</v>
      </c>
      <c r="K2552" t="s">
        <v>27</v>
      </c>
      <c r="L2552" t="b">
        <v>1</v>
      </c>
      <c r="M2552" t="s">
        <v>12467</v>
      </c>
      <c r="N2552" t="str">
        <f>"613/.04330994"</f>
        <v>613/.04330994</v>
      </c>
      <c r="O2552" t="s">
        <v>7371</v>
      </c>
      <c r="P2552" t="b">
        <v>0</v>
      </c>
      <c r="Q2552" t="b">
        <v>0</v>
      </c>
      <c r="R2552" t="str">
        <f>"9781607416166"</f>
        <v>9781607416166</v>
      </c>
      <c r="S2552" t="str">
        <f>"9781616682408"</f>
        <v>9781616682408</v>
      </c>
      <c r="T2552">
        <v>608693228</v>
      </c>
    </row>
    <row r="2553" spans="1:20" x14ac:dyDescent="0.25">
      <c r="A2553">
        <v>315353</v>
      </c>
      <c r="B2553" t="s">
        <v>12468</v>
      </c>
      <c r="D2553" t="s">
        <v>98</v>
      </c>
      <c r="E2553" t="s">
        <v>12469</v>
      </c>
      <c r="F2553">
        <v>2009</v>
      </c>
      <c r="G2553" t="s">
        <v>45</v>
      </c>
      <c r="H2553" t="s">
        <v>12470</v>
      </c>
      <c r="I2553" t="s">
        <v>12471</v>
      </c>
      <c r="J2553" t="s">
        <v>26</v>
      </c>
      <c r="K2553" t="s">
        <v>27</v>
      </c>
      <c r="L2553" t="b">
        <v>1</v>
      </c>
      <c r="M2553" t="s">
        <v>12472</v>
      </c>
      <c r="N2553" t="str">
        <f>"616.8/4912"</f>
        <v>616.8/4912</v>
      </c>
      <c r="O2553" t="s">
        <v>12473</v>
      </c>
      <c r="P2553" t="b">
        <v>0</v>
      </c>
      <c r="R2553" t="str">
        <f>"9780195368208"</f>
        <v>9780195368208</v>
      </c>
      <c r="S2553" t="str">
        <f>"9780199709649"</f>
        <v>9780199709649</v>
      </c>
      <c r="T2553">
        <v>607555307</v>
      </c>
    </row>
    <row r="2554" spans="1:20" x14ac:dyDescent="0.25">
      <c r="A2554">
        <v>314712</v>
      </c>
      <c r="B2554" t="s">
        <v>12474</v>
      </c>
      <c r="D2554" t="s">
        <v>1151</v>
      </c>
      <c r="E2554" t="s">
        <v>12475</v>
      </c>
      <c r="F2554">
        <v>2004</v>
      </c>
      <c r="G2554" t="s">
        <v>10841</v>
      </c>
      <c r="H2554" t="s">
        <v>12476</v>
      </c>
      <c r="I2554" t="s">
        <v>12477</v>
      </c>
      <c r="J2554" t="s">
        <v>26</v>
      </c>
      <c r="K2554" t="s">
        <v>27</v>
      </c>
      <c r="L2554" t="b">
        <v>1</v>
      </c>
      <c r="M2554" t="s">
        <v>10844</v>
      </c>
      <c r="N2554" t="str">
        <f>"629.132/52"</f>
        <v>629.132/52</v>
      </c>
      <c r="O2554" t="s">
        <v>12478</v>
      </c>
      <c r="P2554" t="b">
        <v>0</v>
      </c>
      <c r="R2554" t="str">
        <f>"9781560275572"</f>
        <v>9781560275572</v>
      </c>
      <c r="S2554" t="str">
        <f>"9781560277842"</f>
        <v>9781560277842</v>
      </c>
      <c r="T2554">
        <v>621466883</v>
      </c>
    </row>
    <row r="2555" spans="1:20" x14ac:dyDescent="0.25">
      <c r="A2555">
        <v>314711</v>
      </c>
      <c r="B2555" t="s">
        <v>12479</v>
      </c>
      <c r="D2555" t="s">
        <v>1151</v>
      </c>
      <c r="E2555" t="s">
        <v>10840</v>
      </c>
      <c r="F2555">
        <v>2008</v>
      </c>
      <c r="G2555" t="s">
        <v>10841</v>
      </c>
      <c r="H2555" t="s">
        <v>12480</v>
      </c>
      <c r="I2555" t="s">
        <v>12481</v>
      </c>
      <c r="J2555" t="s">
        <v>26</v>
      </c>
      <c r="K2555" t="s">
        <v>27</v>
      </c>
      <c r="L2555" t="b">
        <v>1</v>
      </c>
      <c r="M2555" t="s">
        <v>10844</v>
      </c>
      <c r="N2555" t="str">
        <f>"629.13252"</f>
        <v>629.13252</v>
      </c>
      <c r="O2555" t="s">
        <v>12482</v>
      </c>
      <c r="P2555" t="b">
        <v>0</v>
      </c>
      <c r="R2555" t="str">
        <f>"9781560277507"</f>
        <v>9781560277507</v>
      </c>
      <c r="S2555" t="str">
        <f>"9781560277835"</f>
        <v>9781560277835</v>
      </c>
      <c r="T2555">
        <v>621583840</v>
      </c>
    </row>
    <row r="2556" spans="1:20" x14ac:dyDescent="0.25">
      <c r="A2556">
        <v>311288</v>
      </c>
      <c r="B2556" t="s">
        <v>12483</v>
      </c>
      <c r="C2556" t="s">
        <v>12484</v>
      </c>
      <c r="D2556" t="s">
        <v>2269</v>
      </c>
      <c r="E2556" t="s">
        <v>2269</v>
      </c>
      <c r="F2556">
        <v>2009</v>
      </c>
      <c r="G2556" t="s">
        <v>9553</v>
      </c>
      <c r="H2556" t="s">
        <v>12485</v>
      </c>
      <c r="I2556" t="s">
        <v>12486</v>
      </c>
      <c r="J2556" t="s">
        <v>26</v>
      </c>
      <c r="K2556" t="s">
        <v>27</v>
      </c>
      <c r="L2556" t="b">
        <v>1</v>
      </c>
      <c r="M2556" t="s">
        <v>12487</v>
      </c>
      <c r="N2556" t="str">
        <f>"620.1/4492"</f>
        <v>620.1/4492</v>
      </c>
      <c r="O2556" t="s">
        <v>7355</v>
      </c>
      <c r="P2556" t="b">
        <v>0</v>
      </c>
      <c r="Q2556" t="b">
        <v>0</v>
      </c>
      <c r="R2556" t="str">
        <f>"9781607413165"</f>
        <v>9781607413165</v>
      </c>
      <c r="S2556" t="str">
        <f>"9781616680022"</f>
        <v>9781616680022</v>
      </c>
      <c r="T2556">
        <v>853455942</v>
      </c>
    </row>
    <row r="2557" spans="1:20" x14ac:dyDescent="0.25">
      <c r="A2557">
        <v>311273</v>
      </c>
      <c r="B2557" t="s">
        <v>12488</v>
      </c>
      <c r="D2557" t="s">
        <v>2269</v>
      </c>
      <c r="E2557" t="s">
        <v>2269</v>
      </c>
      <c r="F2557">
        <v>2009</v>
      </c>
      <c r="G2557" t="s">
        <v>7374</v>
      </c>
      <c r="H2557" t="s">
        <v>12489</v>
      </c>
      <c r="I2557" t="s">
        <v>12490</v>
      </c>
      <c r="J2557" t="s">
        <v>26</v>
      </c>
      <c r="K2557" t="s">
        <v>27</v>
      </c>
      <c r="L2557" t="b">
        <v>1</v>
      </c>
      <c r="M2557" t="s">
        <v>12491</v>
      </c>
      <c r="N2557" t="str">
        <f>"541/.394"</f>
        <v>541/.394</v>
      </c>
      <c r="P2557" t="b">
        <v>0</v>
      </c>
      <c r="Q2557" t="b">
        <v>0</v>
      </c>
      <c r="R2557" t="str">
        <f>"9781606922194"</f>
        <v>9781606922194</v>
      </c>
      <c r="S2557" t="str">
        <f>"9781608765294"</f>
        <v>9781608765294</v>
      </c>
      <c r="T2557">
        <v>847650459</v>
      </c>
    </row>
    <row r="2558" spans="1:20" x14ac:dyDescent="0.25">
      <c r="A2558">
        <v>311271</v>
      </c>
      <c r="B2558" t="s">
        <v>12492</v>
      </c>
      <c r="C2558" t="s">
        <v>12493</v>
      </c>
      <c r="D2558" t="s">
        <v>2269</v>
      </c>
      <c r="E2558" t="s">
        <v>2269</v>
      </c>
      <c r="F2558">
        <v>2009</v>
      </c>
      <c r="G2558" t="s">
        <v>9412</v>
      </c>
      <c r="H2558" t="s">
        <v>12494</v>
      </c>
      <c r="I2558" t="s">
        <v>12495</v>
      </c>
      <c r="J2558" t="s">
        <v>26</v>
      </c>
      <c r="K2558" t="s">
        <v>27</v>
      </c>
      <c r="L2558" t="b">
        <v>1</v>
      </c>
      <c r="M2558" t="s">
        <v>12496</v>
      </c>
      <c r="N2558" t="str">
        <f>"628.4/2"</f>
        <v>628.4/2</v>
      </c>
      <c r="P2558" t="b">
        <v>0</v>
      </c>
      <c r="Q2558" t="b">
        <v>0</v>
      </c>
      <c r="R2558" t="str">
        <f>"9781604568899"</f>
        <v>9781604568899</v>
      </c>
      <c r="S2558" t="str">
        <f>"9781608765263"</f>
        <v>9781608765263</v>
      </c>
      <c r="T2558">
        <v>847651124</v>
      </c>
    </row>
    <row r="2559" spans="1:20" x14ac:dyDescent="0.25">
      <c r="A2559">
        <v>311267</v>
      </c>
      <c r="B2559" t="s">
        <v>12497</v>
      </c>
      <c r="C2559" t="s">
        <v>12498</v>
      </c>
      <c r="D2559" t="s">
        <v>2269</v>
      </c>
      <c r="E2559" t="s">
        <v>2269</v>
      </c>
      <c r="F2559">
        <v>2009</v>
      </c>
      <c r="G2559" t="s">
        <v>9543</v>
      </c>
      <c r="H2559" t="s">
        <v>12499</v>
      </c>
      <c r="I2559" t="s">
        <v>12500</v>
      </c>
      <c r="J2559" t="s">
        <v>26</v>
      </c>
      <c r="K2559" t="s">
        <v>27</v>
      </c>
      <c r="L2559" t="b">
        <v>1</v>
      </c>
      <c r="M2559" t="s">
        <v>12501</v>
      </c>
      <c r="N2559" t="str">
        <f>"620/.41"</f>
        <v>620/.41</v>
      </c>
      <c r="P2559" t="b">
        <v>0</v>
      </c>
      <c r="Q2559" t="b">
        <v>0</v>
      </c>
      <c r="R2559" t="str">
        <f>"9781604569988"</f>
        <v>9781604569988</v>
      </c>
      <c r="S2559" t="str">
        <f>"9781608765232"</f>
        <v>9781608765232</v>
      </c>
      <c r="T2559">
        <v>847651039</v>
      </c>
    </row>
    <row r="2560" spans="1:20" x14ac:dyDescent="0.25">
      <c r="A2560">
        <v>311263</v>
      </c>
      <c r="B2560" t="s">
        <v>12502</v>
      </c>
      <c r="D2560" t="s">
        <v>2269</v>
      </c>
      <c r="E2560" t="s">
        <v>2269</v>
      </c>
      <c r="F2560">
        <v>2009</v>
      </c>
      <c r="G2560" t="s">
        <v>12503</v>
      </c>
      <c r="H2560" t="s">
        <v>12504</v>
      </c>
      <c r="I2560" t="s">
        <v>12505</v>
      </c>
      <c r="J2560" t="s">
        <v>26</v>
      </c>
      <c r="K2560" t="s">
        <v>27</v>
      </c>
      <c r="L2560" t="b">
        <v>1</v>
      </c>
      <c r="M2560" t="s">
        <v>12506</v>
      </c>
      <c r="N2560" t="str">
        <f>"620/.00452"</f>
        <v>620/.00452</v>
      </c>
      <c r="P2560" t="b">
        <v>0</v>
      </c>
      <c r="Q2560" t="b">
        <v>0</v>
      </c>
      <c r="R2560" t="str">
        <f>"9781606923290"</f>
        <v>9781606923290</v>
      </c>
      <c r="S2560" t="str">
        <f>"9781608769711"</f>
        <v>9781608769711</v>
      </c>
      <c r="T2560">
        <v>847646479</v>
      </c>
    </row>
    <row r="2561" spans="1:20" x14ac:dyDescent="0.25">
      <c r="A2561">
        <v>311244</v>
      </c>
      <c r="B2561" t="s">
        <v>12507</v>
      </c>
      <c r="D2561" t="s">
        <v>2269</v>
      </c>
      <c r="E2561" t="s">
        <v>2269</v>
      </c>
      <c r="F2561">
        <v>2009</v>
      </c>
      <c r="G2561" t="s">
        <v>6607</v>
      </c>
      <c r="H2561" t="s">
        <v>12508</v>
      </c>
      <c r="I2561" t="s">
        <v>12509</v>
      </c>
      <c r="J2561" t="s">
        <v>26</v>
      </c>
      <c r="K2561" t="s">
        <v>27</v>
      </c>
      <c r="L2561" t="b">
        <v>1</v>
      </c>
      <c r="M2561" t="s">
        <v>12510</v>
      </c>
      <c r="N2561" t="str">
        <f>"005.8"</f>
        <v>005.8</v>
      </c>
      <c r="P2561" t="b">
        <v>0</v>
      </c>
      <c r="Q2561" t="b">
        <v>0</v>
      </c>
      <c r="R2561" t="str">
        <f>"9781604564921"</f>
        <v>9781604564921</v>
      </c>
      <c r="S2561" t="str">
        <f>"9781608768233"</f>
        <v>9781608768233</v>
      </c>
      <c r="T2561">
        <v>847647566</v>
      </c>
    </row>
    <row r="2562" spans="1:20" x14ac:dyDescent="0.25">
      <c r="A2562">
        <v>311232</v>
      </c>
      <c r="B2562" t="s">
        <v>12511</v>
      </c>
      <c r="D2562" t="s">
        <v>2269</v>
      </c>
      <c r="E2562" t="s">
        <v>2269</v>
      </c>
      <c r="F2562">
        <v>2009</v>
      </c>
      <c r="G2562" t="s">
        <v>7374</v>
      </c>
      <c r="H2562" t="s">
        <v>12512</v>
      </c>
      <c r="I2562" t="s">
        <v>12513</v>
      </c>
      <c r="J2562" t="s">
        <v>26</v>
      </c>
      <c r="K2562" t="s">
        <v>27</v>
      </c>
      <c r="L2562" t="b">
        <v>1</v>
      </c>
      <c r="M2562" t="s">
        <v>12514</v>
      </c>
      <c r="N2562" t="str">
        <f>"541/.38"</f>
        <v>541/.38</v>
      </c>
      <c r="P2562" t="b">
        <v>0</v>
      </c>
      <c r="Q2562" t="b">
        <v>0</v>
      </c>
      <c r="R2562" t="str">
        <f>"9781607413639"</f>
        <v>9781607413639</v>
      </c>
      <c r="S2562" t="str">
        <f>"9781608767946"</f>
        <v>9781608767946</v>
      </c>
      <c r="T2562">
        <v>847652591</v>
      </c>
    </row>
    <row r="2563" spans="1:20" x14ac:dyDescent="0.25">
      <c r="A2563">
        <v>311226</v>
      </c>
      <c r="B2563" t="s">
        <v>12515</v>
      </c>
      <c r="C2563" t="s">
        <v>10777</v>
      </c>
      <c r="D2563" t="s">
        <v>2269</v>
      </c>
      <c r="E2563" t="s">
        <v>2269</v>
      </c>
      <c r="F2563">
        <v>2009</v>
      </c>
      <c r="G2563" t="s">
        <v>11414</v>
      </c>
      <c r="H2563" t="s">
        <v>12516</v>
      </c>
      <c r="I2563" t="s">
        <v>12517</v>
      </c>
      <c r="J2563" t="s">
        <v>26</v>
      </c>
      <c r="K2563" t="s">
        <v>27</v>
      </c>
      <c r="L2563" t="b">
        <v>1</v>
      </c>
      <c r="M2563" t="s">
        <v>12518</v>
      </c>
      <c r="N2563" t="str">
        <f>"621.36/6"</f>
        <v>621.36/6</v>
      </c>
      <c r="O2563" t="s">
        <v>11418</v>
      </c>
      <c r="P2563" t="b">
        <v>0</v>
      </c>
      <c r="Q2563" t="b">
        <v>0</v>
      </c>
      <c r="R2563" t="str">
        <f>"9781606928967"</f>
        <v>9781606928967</v>
      </c>
      <c r="S2563" t="str">
        <f>"9781608767779"</f>
        <v>9781608767779</v>
      </c>
      <c r="T2563">
        <v>830627947</v>
      </c>
    </row>
    <row r="2564" spans="1:20" x14ac:dyDescent="0.25">
      <c r="A2564">
        <v>311224</v>
      </c>
      <c r="B2564" t="s">
        <v>12519</v>
      </c>
      <c r="D2564" t="s">
        <v>2269</v>
      </c>
      <c r="E2564" t="s">
        <v>2269</v>
      </c>
      <c r="F2564">
        <v>2009</v>
      </c>
      <c r="G2564" t="s">
        <v>9050</v>
      </c>
      <c r="H2564" t="s">
        <v>12520</v>
      </c>
      <c r="I2564" t="s">
        <v>12521</v>
      </c>
      <c r="J2564" t="s">
        <v>26</v>
      </c>
      <c r="K2564" t="s">
        <v>27</v>
      </c>
      <c r="L2564" t="b">
        <v>1</v>
      </c>
      <c r="M2564" t="s">
        <v>12522</v>
      </c>
      <c r="N2564" t="str">
        <f>"547/.7"</f>
        <v>547/.7</v>
      </c>
      <c r="P2564" t="b">
        <v>0</v>
      </c>
      <c r="Q2564" t="b">
        <v>0</v>
      </c>
      <c r="R2564" t="str">
        <f>"9781607412526"</f>
        <v>9781607412526</v>
      </c>
      <c r="S2564" t="str">
        <f>"9781608767755"</f>
        <v>9781608767755</v>
      </c>
      <c r="T2564">
        <v>847643412</v>
      </c>
    </row>
    <row r="2565" spans="1:20" x14ac:dyDescent="0.25">
      <c r="A2565">
        <v>311222</v>
      </c>
      <c r="B2565" t="s">
        <v>12523</v>
      </c>
      <c r="C2565" t="s">
        <v>12524</v>
      </c>
      <c r="D2565" t="s">
        <v>2269</v>
      </c>
      <c r="E2565" t="s">
        <v>2269</v>
      </c>
      <c r="F2565">
        <v>2009</v>
      </c>
      <c r="G2565" t="s">
        <v>6836</v>
      </c>
      <c r="H2565" t="s">
        <v>12525</v>
      </c>
      <c r="I2565" t="s">
        <v>12526</v>
      </c>
      <c r="J2565" t="s">
        <v>26</v>
      </c>
      <c r="K2565" t="s">
        <v>27</v>
      </c>
      <c r="L2565" t="b">
        <v>1</v>
      </c>
      <c r="M2565" t="s">
        <v>12527</v>
      </c>
      <c r="N2565" t="str">
        <f>"725/.51"</f>
        <v>725/.51</v>
      </c>
      <c r="P2565" t="b">
        <v>0</v>
      </c>
      <c r="Q2565" t="b">
        <v>0</v>
      </c>
      <c r="R2565" t="str">
        <f>"9781606923276"</f>
        <v>9781606923276</v>
      </c>
      <c r="S2565" t="str">
        <f>"9781608767717"</f>
        <v>9781608767717</v>
      </c>
      <c r="T2565">
        <v>844348894</v>
      </c>
    </row>
    <row r="2566" spans="1:20" x14ac:dyDescent="0.25">
      <c r="A2566">
        <v>311221</v>
      </c>
      <c r="B2566" t="s">
        <v>12528</v>
      </c>
      <c r="C2566" t="s">
        <v>12529</v>
      </c>
      <c r="D2566" t="s">
        <v>2269</v>
      </c>
      <c r="E2566" t="s">
        <v>2269</v>
      </c>
      <c r="F2566">
        <v>2009</v>
      </c>
      <c r="G2566" t="s">
        <v>12530</v>
      </c>
      <c r="H2566" t="s">
        <v>12531</v>
      </c>
      <c r="I2566" t="s">
        <v>12532</v>
      </c>
      <c r="J2566" t="s">
        <v>26</v>
      </c>
      <c r="K2566" t="s">
        <v>27</v>
      </c>
      <c r="L2566" t="b">
        <v>1</v>
      </c>
      <c r="M2566" t="s">
        <v>12533</v>
      </c>
      <c r="N2566" t="str">
        <f>"620.1/126"</f>
        <v>620.1/126</v>
      </c>
      <c r="P2566" t="b">
        <v>0</v>
      </c>
      <c r="Q2566" t="b">
        <v>0</v>
      </c>
      <c r="R2566" t="str">
        <f>"9781606924761"</f>
        <v>9781606924761</v>
      </c>
      <c r="S2566" t="str">
        <f>"9781608767700"</f>
        <v>9781608767700</v>
      </c>
      <c r="T2566">
        <v>844348015</v>
      </c>
    </row>
    <row r="2567" spans="1:20" x14ac:dyDescent="0.25">
      <c r="A2567">
        <v>311203</v>
      </c>
      <c r="B2567" t="s">
        <v>12534</v>
      </c>
      <c r="C2567" t="s">
        <v>12535</v>
      </c>
      <c r="D2567" t="s">
        <v>2269</v>
      </c>
      <c r="E2567" t="s">
        <v>2269</v>
      </c>
      <c r="F2567">
        <v>2009</v>
      </c>
      <c r="G2567" t="s">
        <v>12536</v>
      </c>
      <c r="H2567" t="s">
        <v>12537</v>
      </c>
      <c r="I2567" t="s">
        <v>12538</v>
      </c>
      <c r="J2567" t="s">
        <v>26</v>
      </c>
      <c r="K2567" t="s">
        <v>27</v>
      </c>
      <c r="L2567" t="b">
        <v>1</v>
      </c>
      <c r="M2567" t="s">
        <v>12539</v>
      </c>
      <c r="N2567" t="str">
        <f>"627/.8"</f>
        <v>627/.8</v>
      </c>
      <c r="P2567" t="b">
        <v>0</v>
      </c>
      <c r="Q2567" t="b">
        <v>0</v>
      </c>
      <c r="R2567" t="str">
        <f>"9781606926185"</f>
        <v>9781606926185</v>
      </c>
      <c r="S2567" t="str">
        <f>"9781608767328"</f>
        <v>9781608767328</v>
      </c>
      <c r="T2567">
        <v>830627944</v>
      </c>
    </row>
    <row r="2568" spans="1:20" x14ac:dyDescent="0.25">
      <c r="A2568">
        <v>311188</v>
      </c>
      <c r="B2568" t="s">
        <v>12540</v>
      </c>
      <c r="C2568" t="s">
        <v>12541</v>
      </c>
      <c r="D2568" t="s">
        <v>2269</v>
      </c>
      <c r="E2568" t="s">
        <v>2269</v>
      </c>
      <c r="F2568">
        <v>2009</v>
      </c>
      <c r="G2568" t="s">
        <v>4670</v>
      </c>
      <c r="H2568" t="s">
        <v>12542</v>
      </c>
      <c r="I2568" t="s">
        <v>12543</v>
      </c>
      <c r="J2568" t="s">
        <v>26</v>
      </c>
      <c r="K2568" t="s">
        <v>27</v>
      </c>
      <c r="L2568" t="b">
        <v>1</v>
      </c>
      <c r="M2568" t="s">
        <v>12544</v>
      </c>
      <c r="N2568" t="str">
        <f>"530"</f>
        <v>530</v>
      </c>
      <c r="O2568" t="s">
        <v>10672</v>
      </c>
      <c r="P2568" t="b">
        <v>0</v>
      </c>
      <c r="Q2568" t="b">
        <v>0</v>
      </c>
      <c r="R2568" t="str">
        <f>"9781606920640"</f>
        <v>9781606920640</v>
      </c>
      <c r="S2568" t="str">
        <f>"9781608767113"</f>
        <v>9781608767113</v>
      </c>
      <c r="T2568">
        <v>837527973</v>
      </c>
    </row>
    <row r="2569" spans="1:20" x14ac:dyDescent="0.25">
      <c r="A2569">
        <v>311181</v>
      </c>
      <c r="B2569" t="s">
        <v>12545</v>
      </c>
      <c r="D2569" t="s">
        <v>2269</v>
      </c>
      <c r="E2569" t="s">
        <v>2269</v>
      </c>
      <c r="F2569">
        <v>2009</v>
      </c>
      <c r="G2569" t="s">
        <v>7633</v>
      </c>
      <c r="H2569" t="s">
        <v>12546</v>
      </c>
      <c r="I2569" t="s">
        <v>12547</v>
      </c>
      <c r="J2569" t="s">
        <v>26</v>
      </c>
      <c r="K2569" t="s">
        <v>27</v>
      </c>
      <c r="L2569" t="b">
        <v>1</v>
      </c>
      <c r="M2569" t="s">
        <v>12548</v>
      </c>
      <c r="N2569" t="str">
        <f>"618.92/8589"</f>
        <v>618.92/8589</v>
      </c>
      <c r="O2569" t="s">
        <v>12549</v>
      </c>
      <c r="P2569" t="b">
        <v>0</v>
      </c>
      <c r="Q2569" t="b">
        <v>0</v>
      </c>
      <c r="R2569" t="str">
        <f>"9781607415817"</f>
        <v>9781607415817</v>
      </c>
      <c r="S2569" t="str">
        <f>"9781608766994"</f>
        <v>9781608766994</v>
      </c>
      <c r="T2569">
        <v>853455934</v>
      </c>
    </row>
    <row r="2570" spans="1:20" x14ac:dyDescent="0.25">
      <c r="A2570">
        <v>311170</v>
      </c>
      <c r="B2570" t="s">
        <v>8578</v>
      </c>
      <c r="C2570" t="s">
        <v>7373</v>
      </c>
      <c r="D2570" t="s">
        <v>2269</v>
      </c>
      <c r="E2570" t="s">
        <v>2269</v>
      </c>
      <c r="F2570">
        <v>2009</v>
      </c>
      <c r="G2570" t="s">
        <v>1110</v>
      </c>
      <c r="H2570" t="s">
        <v>12550</v>
      </c>
      <c r="I2570" t="s">
        <v>12551</v>
      </c>
      <c r="J2570" t="s">
        <v>26</v>
      </c>
      <c r="K2570" t="s">
        <v>27</v>
      </c>
      <c r="L2570" t="b">
        <v>1</v>
      </c>
      <c r="M2570" t="s">
        <v>12552</v>
      </c>
      <c r="N2570" t="str">
        <f>"616.89/120072"</f>
        <v>616.89/120072</v>
      </c>
      <c r="P2570" t="b">
        <v>0</v>
      </c>
      <c r="Q2570" t="b">
        <v>0</v>
      </c>
      <c r="R2570" t="str">
        <f>"9781606923320"</f>
        <v>9781606923320</v>
      </c>
      <c r="S2570" t="str">
        <f>"9781608766758"</f>
        <v>9781608766758</v>
      </c>
      <c r="T2570">
        <v>847651074</v>
      </c>
    </row>
    <row r="2571" spans="1:20" x14ac:dyDescent="0.25">
      <c r="A2571">
        <v>311168</v>
      </c>
      <c r="B2571" t="s">
        <v>12553</v>
      </c>
      <c r="C2571" t="s">
        <v>12554</v>
      </c>
      <c r="D2571" t="s">
        <v>2269</v>
      </c>
      <c r="E2571" t="s">
        <v>2269</v>
      </c>
      <c r="F2571">
        <v>2009</v>
      </c>
      <c r="G2571" t="s">
        <v>7374</v>
      </c>
      <c r="H2571" t="s">
        <v>12555</v>
      </c>
      <c r="I2571" t="s">
        <v>12556</v>
      </c>
      <c r="J2571" t="s">
        <v>26</v>
      </c>
      <c r="K2571" t="s">
        <v>27</v>
      </c>
      <c r="L2571" t="b">
        <v>1</v>
      </c>
      <c r="M2571" t="s">
        <v>12557</v>
      </c>
      <c r="N2571" t="str">
        <f>"541.34515"</f>
        <v>541.34515</v>
      </c>
      <c r="P2571" t="b">
        <v>0</v>
      </c>
      <c r="Q2571" t="b">
        <v>0</v>
      </c>
      <c r="R2571" t="str">
        <f>"9781606929254"</f>
        <v>9781606929254</v>
      </c>
      <c r="S2571" t="str">
        <f>"9781608766567"</f>
        <v>9781608766567</v>
      </c>
      <c r="T2571">
        <v>847652417</v>
      </c>
    </row>
    <row r="2572" spans="1:20" x14ac:dyDescent="0.25">
      <c r="A2572">
        <v>311164</v>
      </c>
      <c r="B2572" t="s">
        <v>12558</v>
      </c>
      <c r="C2572" t="s">
        <v>12559</v>
      </c>
      <c r="D2572" t="s">
        <v>2269</v>
      </c>
      <c r="E2572" t="s">
        <v>2269</v>
      </c>
      <c r="F2572">
        <v>2009</v>
      </c>
      <c r="G2572" t="s">
        <v>7345</v>
      </c>
      <c r="H2572" t="s">
        <v>12560</v>
      </c>
      <c r="I2572" t="s">
        <v>12561</v>
      </c>
      <c r="J2572" t="s">
        <v>26</v>
      </c>
      <c r="K2572" t="s">
        <v>27</v>
      </c>
      <c r="L2572" t="b">
        <v>1</v>
      </c>
      <c r="M2572" t="s">
        <v>12562</v>
      </c>
      <c r="N2572" t="str">
        <f>"387.7/36"</f>
        <v>387.7/36</v>
      </c>
      <c r="P2572" t="b">
        <v>0</v>
      </c>
      <c r="Q2572" t="b">
        <v>0</v>
      </c>
      <c r="R2572" t="str">
        <f>"9781606923931"</f>
        <v>9781606923931</v>
      </c>
      <c r="S2572" t="str">
        <f>"9781608766628"</f>
        <v>9781608766628</v>
      </c>
      <c r="T2572">
        <v>847652962</v>
      </c>
    </row>
    <row r="2573" spans="1:20" x14ac:dyDescent="0.25">
      <c r="A2573">
        <v>311157</v>
      </c>
      <c r="B2573" t="s">
        <v>12563</v>
      </c>
      <c r="C2573" t="s">
        <v>12564</v>
      </c>
      <c r="D2573" t="s">
        <v>2269</v>
      </c>
      <c r="E2573" t="s">
        <v>2269</v>
      </c>
      <c r="F2573">
        <v>2009</v>
      </c>
      <c r="G2573" t="s">
        <v>1094</v>
      </c>
      <c r="H2573" t="s">
        <v>12565</v>
      </c>
      <c r="I2573" t="s">
        <v>12566</v>
      </c>
      <c r="J2573" t="s">
        <v>26</v>
      </c>
      <c r="K2573" t="s">
        <v>27</v>
      </c>
      <c r="L2573" t="b">
        <v>1</v>
      </c>
      <c r="M2573" t="s">
        <v>12567</v>
      </c>
      <c r="N2573" t="str">
        <f>"551"</f>
        <v>551</v>
      </c>
      <c r="P2573" t="b">
        <v>0</v>
      </c>
      <c r="Q2573" t="b">
        <v>0</v>
      </c>
      <c r="R2573" t="str">
        <f>"9781604569032"</f>
        <v>9781604569032</v>
      </c>
      <c r="S2573" t="str">
        <f>"9781608766505"</f>
        <v>9781608766505</v>
      </c>
      <c r="T2573">
        <v>853455941</v>
      </c>
    </row>
    <row r="2574" spans="1:20" x14ac:dyDescent="0.25">
      <c r="A2574">
        <v>311147</v>
      </c>
      <c r="B2574" t="s">
        <v>12568</v>
      </c>
      <c r="D2574" t="s">
        <v>2269</v>
      </c>
      <c r="E2574" t="s">
        <v>2269</v>
      </c>
      <c r="F2574">
        <v>2009</v>
      </c>
      <c r="G2574" t="s">
        <v>2000</v>
      </c>
      <c r="H2574" t="s">
        <v>12569</v>
      </c>
      <c r="I2574" t="s">
        <v>12570</v>
      </c>
      <c r="J2574" t="s">
        <v>26</v>
      </c>
      <c r="K2574" t="s">
        <v>27</v>
      </c>
      <c r="L2574" t="b">
        <v>1</v>
      </c>
      <c r="M2574" t="s">
        <v>8489</v>
      </c>
      <c r="N2574" t="str">
        <f>"618.92/89"</f>
        <v>618.92/89</v>
      </c>
      <c r="O2574" t="s">
        <v>12571</v>
      </c>
      <c r="P2574" t="b">
        <v>0</v>
      </c>
      <c r="Q2574" t="b">
        <v>0</v>
      </c>
      <c r="R2574" t="str">
        <f>"9781606927021"</f>
        <v>9781606927021</v>
      </c>
      <c r="S2574" t="str">
        <f>"9781608766307"</f>
        <v>9781608766307</v>
      </c>
      <c r="T2574">
        <v>844348747</v>
      </c>
    </row>
    <row r="2575" spans="1:20" x14ac:dyDescent="0.25">
      <c r="A2575">
        <v>311146</v>
      </c>
      <c r="B2575" t="s">
        <v>12572</v>
      </c>
      <c r="C2575" t="s">
        <v>12573</v>
      </c>
      <c r="D2575" t="s">
        <v>2269</v>
      </c>
      <c r="E2575" t="s">
        <v>2269</v>
      </c>
      <c r="F2575">
        <v>2009</v>
      </c>
      <c r="G2575" t="s">
        <v>8580</v>
      </c>
      <c r="H2575" t="s">
        <v>12574</v>
      </c>
      <c r="I2575" t="s">
        <v>12575</v>
      </c>
      <c r="J2575" t="s">
        <v>26</v>
      </c>
      <c r="K2575" t="s">
        <v>27</v>
      </c>
      <c r="L2575" t="b">
        <v>1</v>
      </c>
      <c r="M2575" t="s">
        <v>12576</v>
      </c>
      <c r="N2575" t="str">
        <f>"615/.798"</f>
        <v>615/.798</v>
      </c>
      <c r="O2575" t="s">
        <v>12577</v>
      </c>
      <c r="P2575" t="b">
        <v>0</v>
      </c>
      <c r="Q2575" t="b">
        <v>0</v>
      </c>
      <c r="R2575" t="str">
        <f>"9781607410041"</f>
        <v>9781607410041</v>
      </c>
      <c r="S2575" t="str">
        <f>"9781608766291"</f>
        <v>9781608766291</v>
      </c>
      <c r="T2575">
        <v>844070642</v>
      </c>
    </row>
    <row r="2576" spans="1:20" x14ac:dyDescent="0.25">
      <c r="A2576">
        <v>311138</v>
      </c>
      <c r="B2576" t="s">
        <v>12578</v>
      </c>
      <c r="D2576" t="s">
        <v>2269</v>
      </c>
      <c r="E2576" t="s">
        <v>2269</v>
      </c>
      <c r="F2576">
        <v>2009</v>
      </c>
      <c r="G2576" t="s">
        <v>6801</v>
      </c>
      <c r="H2576" t="s">
        <v>12579</v>
      </c>
      <c r="I2576" t="s">
        <v>12580</v>
      </c>
      <c r="J2576" t="s">
        <v>26</v>
      </c>
      <c r="K2576" t="s">
        <v>27</v>
      </c>
      <c r="L2576" t="b">
        <v>1</v>
      </c>
      <c r="M2576" t="s">
        <v>12581</v>
      </c>
      <c r="N2576" t="str">
        <f>"333.71/53"</f>
        <v>333.71/53</v>
      </c>
      <c r="P2576" t="b">
        <v>0</v>
      </c>
      <c r="Q2576" t="b">
        <v>0</v>
      </c>
      <c r="R2576" t="str">
        <f>"9781607410133"</f>
        <v>9781607410133</v>
      </c>
      <c r="S2576" t="str">
        <f>"9781608766116"</f>
        <v>9781608766116</v>
      </c>
      <c r="T2576">
        <v>844348280</v>
      </c>
    </row>
    <row r="2577" spans="1:20" x14ac:dyDescent="0.25">
      <c r="A2577">
        <v>311135</v>
      </c>
      <c r="B2577" t="s">
        <v>12582</v>
      </c>
      <c r="D2577" t="s">
        <v>2269</v>
      </c>
      <c r="E2577" t="s">
        <v>2269</v>
      </c>
      <c r="F2577">
        <v>2009</v>
      </c>
      <c r="G2577" t="s">
        <v>12583</v>
      </c>
      <c r="H2577" t="s">
        <v>12584</v>
      </c>
      <c r="I2577" t="s">
        <v>12585</v>
      </c>
      <c r="J2577" t="s">
        <v>26</v>
      </c>
      <c r="K2577" t="s">
        <v>27</v>
      </c>
      <c r="L2577" t="b">
        <v>1</v>
      </c>
      <c r="M2577" t="s">
        <v>12586</v>
      </c>
      <c r="N2577" t="str">
        <f>"616.89/800835"</f>
        <v>616.89/800835</v>
      </c>
      <c r="P2577" t="b">
        <v>0</v>
      </c>
      <c r="Q2577" t="b">
        <v>0</v>
      </c>
      <c r="R2577" t="str">
        <f>"9781606923702"</f>
        <v>9781606923702</v>
      </c>
      <c r="S2577" t="str">
        <f>"9781608766062"</f>
        <v>9781608766062</v>
      </c>
      <c r="T2577">
        <v>847650501</v>
      </c>
    </row>
    <row r="2578" spans="1:20" x14ac:dyDescent="0.25">
      <c r="A2578">
        <v>311122</v>
      </c>
      <c r="B2578" t="s">
        <v>12587</v>
      </c>
      <c r="C2578" t="s">
        <v>12588</v>
      </c>
      <c r="D2578" t="s">
        <v>2269</v>
      </c>
      <c r="E2578" t="s">
        <v>2269</v>
      </c>
      <c r="F2578">
        <v>2009</v>
      </c>
      <c r="G2578" t="s">
        <v>8981</v>
      </c>
      <c r="H2578" t="s">
        <v>12589</v>
      </c>
      <c r="I2578" t="s">
        <v>12590</v>
      </c>
      <c r="J2578" t="s">
        <v>26</v>
      </c>
      <c r="K2578" t="s">
        <v>27</v>
      </c>
      <c r="L2578" t="b">
        <v>1</v>
      </c>
      <c r="M2578" t="s">
        <v>12591</v>
      </c>
      <c r="N2578" t="str">
        <f>"616.97/8"</f>
        <v>616.97/8</v>
      </c>
      <c r="P2578" t="b">
        <v>0</v>
      </c>
      <c r="R2578" t="str">
        <f>"9781604568332"</f>
        <v>9781604568332</v>
      </c>
      <c r="S2578" t="str">
        <f>"9781608765461"</f>
        <v>9781608765461</v>
      </c>
      <c r="T2578">
        <v>593306280</v>
      </c>
    </row>
    <row r="2579" spans="1:20" x14ac:dyDescent="0.25">
      <c r="A2579">
        <v>311119</v>
      </c>
      <c r="B2579" t="s">
        <v>12592</v>
      </c>
      <c r="D2579" t="s">
        <v>2269</v>
      </c>
      <c r="E2579" t="s">
        <v>2269</v>
      </c>
      <c r="F2579">
        <v>2009</v>
      </c>
      <c r="G2579" t="s">
        <v>1054</v>
      </c>
      <c r="H2579" t="s">
        <v>12593</v>
      </c>
      <c r="I2579" t="s">
        <v>12594</v>
      </c>
      <c r="J2579" t="s">
        <v>26</v>
      </c>
      <c r="K2579" t="s">
        <v>27</v>
      </c>
      <c r="L2579" t="b">
        <v>1</v>
      </c>
      <c r="M2579" t="s">
        <v>12595</v>
      </c>
      <c r="N2579" t="str">
        <f>"616.1/32"</f>
        <v>616.1/32</v>
      </c>
      <c r="O2579" t="s">
        <v>12596</v>
      </c>
      <c r="P2579" t="b">
        <v>0</v>
      </c>
      <c r="Q2579" t="b">
        <v>0</v>
      </c>
      <c r="R2579" t="str">
        <f>"9781607418627"</f>
        <v>9781607418627</v>
      </c>
      <c r="S2579" t="str">
        <f>"9781608765492"</f>
        <v>9781608765492</v>
      </c>
      <c r="T2579">
        <v>593306124</v>
      </c>
    </row>
    <row r="2580" spans="1:20" x14ac:dyDescent="0.25">
      <c r="A2580">
        <v>311118</v>
      </c>
      <c r="B2580" t="s">
        <v>12597</v>
      </c>
      <c r="C2580" t="s">
        <v>7373</v>
      </c>
      <c r="D2580" t="s">
        <v>2269</v>
      </c>
      <c r="E2580" t="s">
        <v>2269</v>
      </c>
      <c r="F2580">
        <v>2009</v>
      </c>
      <c r="G2580" t="s">
        <v>12598</v>
      </c>
      <c r="H2580" t="s">
        <v>12599</v>
      </c>
      <c r="I2580" t="s">
        <v>12600</v>
      </c>
      <c r="J2580" t="s">
        <v>26</v>
      </c>
      <c r="K2580" t="s">
        <v>27</v>
      </c>
      <c r="L2580" t="b">
        <v>1</v>
      </c>
      <c r="M2580" t="s">
        <v>12601</v>
      </c>
      <c r="N2580" t="str">
        <f>"621.36"</f>
        <v>621.36</v>
      </c>
      <c r="P2580" t="b">
        <v>0</v>
      </c>
      <c r="Q2580" t="b">
        <v>0</v>
      </c>
      <c r="R2580" t="str">
        <f>"9781604569070"</f>
        <v>9781604569070</v>
      </c>
      <c r="S2580" t="str">
        <f>"9781608765515"</f>
        <v>9781608765515</v>
      </c>
      <c r="T2580">
        <v>593295546</v>
      </c>
    </row>
    <row r="2581" spans="1:20" x14ac:dyDescent="0.25">
      <c r="A2581">
        <v>311117</v>
      </c>
      <c r="B2581" t="s">
        <v>12602</v>
      </c>
      <c r="C2581" t="s">
        <v>12603</v>
      </c>
      <c r="D2581" t="s">
        <v>2269</v>
      </c>
      <c r="E2581" t="s">
        <v>2269</v>
      </c>
      <c r="F2581">
        <v>2009</v>
      </c>
      <c r="G2581" t="s">
        <v>45</v>
      </c>
      <c r="H2581" t="s">
        <v>12604</v>
      </c>
      <c r="I2581" t="s">
        <v>11218</v>
      </c>
      <c r="J2581" t="s">
        <v>26</v>
      </c>
      <c r="K2581" t="s">
        <v>27</v>
      </c>
      <c r="L2581" t="b">
        <v>1</v>
      </c>
      <c r="M2581" t="s">
        <v>12605</v>
      </c>
      <c r="N2581" t="str">
        <f>"616.8/046"</f>
        <v>616.8/046</v>
      </c>
      <c r="P2581" t="b">
        <v>0</v>
      </c>
      <c r="Q2581" t="b">
        <v>0</v>
      </c>
      <c r="R2581" t="str">
        <f>"9781606928950"</f>
        <v>9781606928950</v>
      </c>
      <c r="S2581" t="str">
        <f>"9781608765522"</f>
        <v>9781608765522</v>
      </c>
      <c r="T2581">
        <v>593304192</v>
      </c>
    </row>
    <row r="2582" spans="1:20" x14ac:dyDescent="0.25">
      <c r="A2582">
        <v>311116</v>
      </c>
      <c r="B2582" t="s">
        <v>12606</v>
      </c>
      <c r="D2582" t="s">
        <v>2269</v>
      </c>
      <c r="E2582" t="s">
        <v>2269</v>
      </c>
      <c r="F2582">
        <v>2009</v>
      </c>
      <c r="G2582" t="s">
        <v>540</v>
      </c>
      <c r="H2582" t="s">
        <v>12607</v>
      </c>
      <c r="I2582" t="s">
        <v>12608</v>
      </c>
      <c r="J2582" t="s">
        <v>26</v>
      </c>
      <c r="K2582" t="s">
        <v>27</v>
      </c>
      <c r="L2582" t="b">
        <v>1</v>
      </c>
      <c r="M2582" t="s">
        <v>12609</v>
      </c>
      <c r="N2582" t="str">
        <f>"628.5/3"</f>
        <v>628.5/3</v>
      </c>
      <c r="O2582" t="s">
        <v>10854</v>
      </c>
      <c r="P2582" t="b">
        <v>0</v>
      </c>
      <c r="Q2582" t="b">
        <v>0</v>
      </c>
      <c r="R2582" t="str">
        <f>"9781606928936"</f>
        <v>9781606928936</v>
      </c>
      <c r="S2582" t="str">
        <f>"9781608765539"</f>
        <v>9781608765539</v>
      </c>
      <c r="T2582">
        <v>593295545</v>
      </c>
    </row>
    <row r="2583" spans="1:20" x14ac:dyDescent="0.25">
      <c r="A2583">
        <v>311114</v>
      </c>
      <c r="B2583" t="s">
        <v>12610</v>
      </c>
      <c r="C2583" t="s">
        <v>7373</v>
      </c>
      <c r="D2583" t="s">
        <v>2269</v>
      </c>
      <c r="E2583" t="s">
        <v>2269</v>
      </c>
      <c r="F2583">
        <v>2009</v>
      </c>
      <c r="G2583" t="s">
        <v>12611</v>
      </c>
      <c r="H2583" t="s">
        <v>12612</v>
      </c>
      <c r="I2583" t="s">
        <v>12613</v>
      </c>
      <c r="J2583" t="s">
        <v>26</v>
      </c>
      <c r="K2583" t="s">
        <v>27</v>
      </c>
      <c r="L2583" t="b">
        <v>1</v>
      </c>
      <c r="M2583" t="s">
        <v>12614</v>
      </c>
      <c r="N2583" t="str">
        <f>"624.1/762"</f>
        <v>624.1/762</v>
      </c>
      <c r="P2583" t="b">
        <v>0</v>
      </c>
      <c r="Q2583" t="b">
        <v>0</v>
      </c>
      <c r="R2583" t="str">
        <f>"9781604567366"</f>
        <v>9781604567366</v>
      </c>
      <c r="S2583" t="str">
        <f>"9781608765560"</f>
        <v>9781608765560</v>
      </c>
      <c r="T2583">
        <v>593295543</v>
      </c>
    </row>
    <row r="2584" spans="1:20" x14ac:dyDescent="0.25">
      <c r="A2584">
        <v>311109</v>
      </c>
      <c r="B2584" t="s">
        <v>12615</v>
      </c>
      <c r="D2584" t="s">
        <v>2269</v>
      </c>
      <c r="E2584" t="s">
        <v>2269</v>
      </c>
      <c r="F2584">
        <v>2009</v>
      </c>
      <c r="G2584" t="s">
        <v>2116</v>
      </c>
      <c r="H2584" t="s">
        <v>12616</v>
      </c>
      <c r="I2584" t="s">
        <v>12617</v>
      </c>
      <c r="J2584" t="s">
        <v>26</v>
      </c>
      <c r="K2584" t="s">
        <v>27</v>
      </c>
      <c r="L2584" t="b">
        <v>1</v>
      </c>
      <c r="M2584" t="s">
        <v>12618</v>
      </c>
      <c r="N2584" t="str">
        <f>"571.9/5"</f>
        <v>571.9/5</v>
      </c>
      <c r="P2584" t="b">
        <v>0</v>
      </c>
      <c r="Q2584" t="b">
        <v>0</v>
      </c>
      <c r="R2584" t="str">
        <f>"9781606921678"</f>
        <v>9781606921678</v>
      </c>
      <c r="S2584" t="str">
        <f>"9781608765621"</f>
        <v>9781608765621</v>
      </c>
      <c r="T2584">
        <v>593295541</v>
      </c>
    </row>
    <row r="2585" spans="1:20" x14ac:dyDescent="0.25">
      <c r="A2585">
        <v>311101</v>
      </c>
      <c r="B2585" t="s">
        <v>12619</v>
      </c>
      <c r="D2585" t="s">
        <v>2269</v>
      </c>
      <c r="E2585" t="s">
        <v>2269</v>
      </c>
      <c r="F2585">
        <v>2009</v>
      </c>
      <c r="G2585" t="s">
        <v>12620</v>
      </c>
      <c r="H2585" t="s">
        <v>12621</v>
      </c>
      <c r="I2585" t="s">
        <v>12622</v>
      </c>
      <c r="J2585" t="s">
        <v>26</v>
      </c>
      <c r="K2585" t="s">
        <v>27</v>
      </c>
      <c r="L2585" t="b">
        <v>1</v>
      </c>
      <c r="M2585" t="s">
        <v>12623</v>
      </c>
      <c r="N2585" t="str">
        <f>"571.8/5"</f>
        <v>571.8/5</v>
      </c>
      <c r="P2585" t="b">
        <v>0</v>
      </c>
      <c r="Q2585" t="b">
        <v>0</v>
      </c>
      <c r="R2585" t="str">
        <f>"9781606927946"</f>
        <v>9781606927946</v>
      </c>
      <c r="S2585" t="str">
        <f>"9781608765737"</f>
        <v>9781608765737</v>
      </c>
      <c r="T2585">
        <v>593305295</v>
      </c>
    </row>
    <row r="2586" spans="1:20" x14ac:dyDescent="0.25">
      <c r="A2586">
        <v>311100</v>
      </c>
      <c r="B2586" t="s">
        <v>12624</v>
      </c>
      <c r="D2586" t="s">
        <v>2269</v>
      </c>
      <c r="E2586" t="s">
        <v>2269</v>
      </c>
      <c r="F2586">
        <v>2009</v>
      </c>
      <c r="G2586" t="s">
        <v>540</v>
      </c>
      <c r="H2586" t="s">
        <v>12625</v>
      </c>
      <c r="I2586" t="s">
        <v>12626</v>
      </c>
      <c r="J2586" t="s">
        <v>26</v>
      </c>
      <c r="K2586" t="s">
        <v>27</v>
      </c>
      <c r="L2586" t="b">
        <v>1</v>
      </c>
      <c r="M2586" t="s">
        <v>12627</v>
      </c>
      <c r="N2586" t="str">
        <f>"628.5"</f>
        <v>628.5</v>
      </c>
      <c r="O2586" t="s">
        <v>12420</v>
      </c>
      <c r="P2586" t="b">
        <v>0</v>
      </c>
      <c r="Q2586" t="b">
        <v>0</v>
      </c>
      <c r="R2586" t="str">
        <f>"9781606929001"</f>
        <v>9781606929001</v>
      </c>
      <c r="S2586" t="str">
        <f>"9781608765744"</f>
        <v>9781608765744</v>
      </c>
      <c r="T2586">
        <v>610041870</v>
      </c>
    </row>
    <row r="2587" spans="1:20" x14ac:dyDescent="0.25">
      <c r="A2587">
        <v>311099</v>
      </c>
      <c r="B2587" t="s">
        <v>12628</v>
      </c>
      <c r="C2587" t="s">
        <v>12629</v>
      </c>
      <c r="D2587" t="s">
        <v>2269</v>
      </c>
      <c r="E2587" t="s">
        <v>2269</v>
      </c>
      <c r="F2587">
        <v>2009</v>
      </c>
      <c r="G2587" t="s">
        <v>8592</v>
      </c>
      <c r="H2587" t="s">
        <v>12630</v>
      </c>
      <c r="I2587" t="s">
        <v>12631</v>
      </c>
      <c r="J2587" t="s">
        <v>26</v>
      </c>
      <c r="K2587" t="s">
        <v>27</v>
      </c>
      <c r="L2587" t="b">
        <v>1</v>
      </c>
      <c r="M2587" t="s">
        <v>12632</v>
      </c>
      <c r="N2587" t="str">
        <f>"621.382/4"</f>
        <v>621.382/4</v>
      </c>
      <c r="P2587" t="b">
        <v>0</v>
      </c>
      <c r="Q2587" t="b">
        <v>0</v>
      </c>
      <c r="R2587" t="str">
        <f>"9781606924631"</f>
        <v>9781606924631</v>
      </c>
      <c r="S2587" t="str">
        <f>"9781608762859"</f>
        <v>9781608762859</v>
      </c>
      <c r="T2587">
        <v>593304144</v>
      </c>
    </row>
    <row r="2588" spans="1:20" x14ac:dyDescent="0.25">
      <c r="A2588">
        <v>311097</v>
      </c>
      <c r="B2588" t="s">
        <v>12633</v>
      </c>
      <c r="C2588" t="s">
        <v>12634</v>
      </c>
      <c r="D2588" t="s">
        <v>2269</v>
      </c>
      <c r="E2588" t="s">
        <v>2269</v>
      </c>
      <c r="F2588">
        <v>2009</v>
      </c>
      <c r="G2588" t="s">
        <v>12635</v>
      </c>
      <c r="H2588" t="s">
        <v>12636</v>
      </c>
      <c r="I2588" t="s">
        <v>12637</v>
      </c>
      <c r="J2588" t="s">
        <v>26</v>
      </c>
      <c r="K2588" t="s">
        <v>27</v>
      </c>
      <c r="L2588" t="b">
        <v>1</v>
      </c>
      <c r="M2588" t="s">
        <v>12638</v>
      </c>
      <c r="N2588" t="str">
        <f>"616.07"</f>
        <v>616.07</v>
      </c>
      <c r="P2588" t="b">
        <v>0</v>
      </c>
      <c r="Q2588" t="b">
        <v>0</v>
      </c>
      <c r="R2588" t="str">
        <f>"9781607415541"</f>
        <v>9781607415541</v>
      </c>
      <c r="S2588" t="str">
        <f>"9781608765836"</f>
        <v>9781608765836</v>
      </c>
      <c r="T2588">
        <v>593295535</v>
      </c>
    </row>
    <row r="2589" spans="1:20" x14ac:dyDescent="0.25">
      <c r="A2589">
        <v>311096</v>
      </c>
      <c r="B2589" t="s">
        <v>12639</v>
      </c>
      <c r="D2589" t="s">
        <v>2269</v>
      </c>
      <c r="E2589" t="s">
        <v>2269</v>
      </c>
      <c r="F2589">
        <v>2009</v>
      </c>
      <c r="G2589" t="s">
        <v>9553</v>
      </c>
      <c r="H2589" t="s">
        <v>12640</v>
      </c>
      <c r="I2589" t="s">
        <v>12641</v>
      </c>
      <c r="J2589" t="s">
        <v>26</v>
      </c>
      <c r="K2589" t="s">
        <v>27</v>
      </c>
      <c r="L2589" t="b">
        <v>1</v>
      </c>
      <c r="M2589" t="s">
        <v>12642</v>
      </c>
      <c r="N2589" t="str">
        <f>"620.1/186"</f>
        <v>620.1/186</v>
      </c>
      <c r="O2589" t="s">
        <v>12643</v>
      </c>
      <c r="P2589" t="b">
        <v>0</v>
      </c>
      <c r="Q2589" t="b">
        <v>0</v>
      </c>
      <c r="R2589" t="str">
        <f>"9781607411635"</f>
        <v>9781607411635</v>
      </c>
      <c r="S2589" t="str">
        <f>"9781608765843"</f>
        <v>9781608765843</v>
      </c>
      <c r="T2589">
        <v>593295533</v>
      </c>
    </row>
    <row r="2590" spans="1:20" x14ac:dyDescent="0.25">
      <c r="A2590">
        <v>311094</v>
      </c>
      <c r="B2590" t="s">
        <v>12644</v>
      </c>
      <c r="D2590" t="s">
        <v>2269</v>
      </c>
      <c r="E2590" t="s">
        <v>2269</v>
      </c>
      <c r="F2590">
        <v>2009</v>
      </c>
      <c r="G2590" t="s">
        <v>7399</v>
      </c>
      <c r="H2590" t="s">
        <v>12645</v>
      </c>
      <c r="I2590" t="s">
        <v>12646</v>
      </c>
      <c r="J2590" t="s">
        <v>26</v>
      </c>
      <c r="K2590" t="s">
        <v>27</v>
      </c>
      <c r="L2590" t="b">
        <v>1</v>
      </c>
      <c r="M2590" t="s">
        <v>12647</v>
      </c>
      <c r="N2590" t="str">
        <f>"618.97"</f>
        <v>618.97</v>
      </c>
      <c r="O2590" t="s">
        <v>12648</v>
      </c>
      <c r="P2590" t="b">
        <v>0</v>
      </c>
      <c r="Q2590" t="b">
        <v>0</v>
      </c>
      <c r="R2590" t="str">
        <f>"9781607413097"</f>
        <v>9781607413097</v>
      </c>
      <c r="S2590" t="str">
        <f>"9781608764037"</f>
        <v>9781608764037</v>
      </c>
      <c r="T2590">
        <v>610059498</v>
      </c>
    </row>
    <row r="2591" spans="1:20" x14ac:dyDescent="0.25">
      <c r="A2591">
        <v>311092</v>
      </c>
      <c r="B2591" t="s">
        <v>12649</v>
      </c>
      <c r="D2591" t="s">
        <v>2269</v>
      </c>
      <c r="E2591" t="s">
        <v>2269</v>
      </c>
      <c r="F2591">
        <v>2009</v>
      </c>
      <c r="G2591" t="s">
        <v>4688</v>
      </c>
      <c r="H2591" t="s">
        <v>12650</v>
      </c>
      <c r="I2591" t="s">
        <v>12651</v>
      </c>
      <c r="J2591" t="s">
        <v>26</v>
      </c>
      <c r="K2591" t="s">
        <v>27</v>
      </c>
      <c r="L2591" t="b">
        <v>1</v>
      </c>
      <c r="M2591" t="s">
        <v>12652</v>
      </c>
      <c r="N2591" t="str">
        <f>"576.5/8"</f>
        <v>576.5/8</v>
      </c>
      <c r="O2591" t="s">
        <v>11330</v>
      </c>
      <c r="P2591" t="b">
        <v>0</v>
      </c>
      <c r="Q2591" t="b">
        <v>0</v>
      </c>
      <c r="R2591" t="str">
        <f>"9781607411765"</f>
        <v>9781607411765</v>
      </c>
      <c r="S2591" t="str">
        <f>"9781608765416"</f>
        <v>9781608765416</v>
      </c>
      <c r="T2591">
        <v>593295532</v>
      </c>
    </row>
    <row r="2592" spans="1:20" x14ac:dyDescent="0.25">
      <c r="A2592">
        <v>311091</v>
      </c>
      <c r="B2592" t="s">
        <v>12653</v>
      </c>
      <c r="C2592" t="s">
        <v>7373</v>
      </c>
      <c r="D2592" t="s">
        <v>2269</v>
      </c>
      <c r="E2592" t="s">
        <v>2269</v>
      </c>
      <c r="F2592">
        <v>2009</v>
      </c>
      <c r="G2592" t="s">
        <v>8789</v>
      </c>
      <c r="H2592" t="s">
        <v>12654</v>
      </c>
      <c r="I2592" t="s">
        <v>12655</v>
      </c>
      <c r="J2592" t="s">
        <v>26</v>
      </c>
      <c r="K2592" t="s">
        <v>27</v>
      </c>
      <c r="L2592" t="b">
        <v>1</v>
      </c>
      <c r="M2592" t="s">
        <v>12656</v>
      </c>
      <c r="N2592" t="str">
        <f>"616.85/852"</f>
        <v>616.85/852</v>
      </c>
      <c r="P2592" t="b">
        <v>0</v>
      </c>
      <c r="Q2592" t="b">
        <v>0</v>
      </c>
      <c r="R2592" t="str">
        <f>"9781606924600"</f>
        <v>9781606924600</v>
      </c>
      <c r="S2592" t="str">
        <f>"9781608765409"</f>
        <v>9781608765409</v>
      </c>
      <c r="T2592">
        <v>593295531</v>
      </c>
    </row>
    <row r="2593" spans="1:20" x14ac:dyDescent="0.25">
      <c r="A2593">
        <v>311089</v>
      </c>
      <c r="B2593" t="s">
        <v>12657</v>
      </c>
      <c r="D2593" t="s">
        <v>2269</v>
      </c>
      <c r="E2593" t="s">
        <v>2269</v>
      </c>
      <c r="F2593">
        <v>2009</v>
      </c>
      <c r="G2593" t="s">
        <v>8669</v>
      </c>
      <c r="H2593" t="s">
        <v>12658</v>
      </c>
      <c r="I2593" t="s">
        <v>12659</v>
      </c>
      <c r="J2593" t="s">
        <v>26</v>
      </c>
      <c r="K2593" t="s">
        <v>27</v>
      </c>
      <c r="L2593" t="b">
        <v>1</v>
      </c>
      <c r="M2593" t="s">
        <v>12660</v>
      </c>
      <c r="N2593" t="str">
        <f>"616.99/44906"</f>
        <v>616.99/44906</v>
      </c>
      <c r="P2593" t="b">
        <v>0</v>
      </c>
      <c r="Q2593" t="b">
        <v>0</v>
      </c>
      <c r="R2593" t="str">
        <f>"9781606924471"</f>
        <v>9781606924471</v>
      </c>
      <c r="S2593" t="str">
        <f>"9781608765058"</f>
        <v>9781608765058</v>
      </c>
      <c r="T2593">
        <v>593304121</v>
      </c>
    </row>
    <row r="2594" spans="1:20" x14ac:dyDescent="0.25">
      <c r="A2594">
        <v>311088</v>
      </c>
      <c r="B2594" t="s">
        <v>12661</v>
      </c>
      <c r="D2594" t="s">
        <v>2269</v>
      </c>
      <c r="E2594" t="s">
        <v>2269</v>
      </c>
      <c r="F2594">
        <v>2009</v>
      </c>
      <c r="G2594" t="s">
        <v>540</v>
      </c>
      <c r="H2594" t="s">
        <v>12662</v>
      </c>
      <c r="I2594" t="s">
        <v>12663</v>
      </c>
      <c r="J2594" t="s">
        <v>26</v>
      </c>
      <c r="K2594" t="s">
        <v>27</v>
      </c>
      <c r="L2594" t="b">
        <v>1</v>
      </c>
      <c r="M2594" t="s">
        <v>12664</v>
      </c>
      <c r="N2594" t="str">
        <f>"363.73874"</f>
        <v>363.73874</v>
      </c>
      <c r="O2594" t="s">
        <v>10944</v>
      </c>
      <c r="P2594" t="b">
        <v>0</v>
      </c>
      <c r="Q2594" t="b">
        <v>0</v>
      </c>
      <c r="R2594" t="str">
        <f>"9781607412359"</f>
        <v>9781607412359</v>
      </c>
      <c r="S2594" t="str">
        <f>"9781608765034"</f>
        <v>9781608765034</v>
      </c>
      <c r="T2594">
        <v>610041961</v>
      </c>
    </row>
    <row r="2595" spans="1:20" x14ac:dyDescent="0.25">
      <c r="A2595">
        <v>311087</v>
      </c>
      <c r="B2595" t="s">
        <v>12665</v>
      </c>
      <c r="D2595" t="s">
        <v>2269</v>
      </c>
      <c r="E2595" t="s">
        <v>2269</v>
      </c>
      <c r="F2595">
        <v>2009</v>
      </c>
      <c r="G2595" t="s">
        <v>9145</v>
      </c>
      <c r="H2595" t="s">
        <v>12666</v>
      </c>
      <c r="I2595" t="s">
        <v>12667</v>
      </c>
      <c r="J2595" t="s">
        <v>26</v>
      </c>
      <c r="K2595" t="s">
        <v>27</v>
      </c>
      <c r="L2595" t="b">
        <v>1</v>
      </c>
      <c r="M2595" t="s">
        <v>12668</v>
      </c>
      <c r="N2595" t="str">
        <f>"613.2"</f>
        <v>613.2</v>
      </c>
      <c r="O2595" t="s">
        <v>9318</v>
      </c>
      <c r="P2595" t="b">
        <v>0</v>
      </c>
      <c r="Q2595" t="b">
        <v>0</v>
      </c>
      <c r="R2595" t="str">
        <f>"9781606927779"</f>
        <v>9781606927779</v>
      </c>
      <c r="S2595" t="str">
        <f>"9781608764990"</f>
        <v>9781608764990</v>
      </c>
      <c r="T2595">
        <v>610046647</v>
      </c>
    </row>
    <row r="2596" spans="1:20" x14ac:dyDescent="0.25">
      <c r="A2596">
        <v>311083</v>
      </c>
      <c r="B2596" t="s">
        <v>12669</v>
      </c>
      <c r="D2596" t="s">
        <v>2269</v>
      </c>
      <c r="E2596" t="s">
        <v>2269</v>
      </c>
      <c r="F2596">
        <v>2009</v>
      </c>
      <c r="G2596" t="s">
        <v>540</v>
      </c>
      <c r="H2596" t="s">
        <v>12670</v>
      </c>
      <c r="I2596" t="s">
        <v>12671</v>
      </c>
      <c r="J2596" t="s">
        <v>26</v>
      </c>
      <c r="K2596" t="s">
        <v>27</v>
      </c>
      <c r="L2596" t="b">
        <v>1</v>
      </c>
      <c r="M2596" t="s">
        <v>12672</v>
      </c>
      <c r="N2596" t="str">
        <f>"628.5"</f>
        <v>628.5</v>
      </c>
      <c r="P2596" t="b">
        <v>0</v>
      </c>
      <c r="Q2596" t="b">
        <v>0</v>
      </c>
      <c r="R2596" t="str">
        <f>"9781606923207"</f>
        <v>9781606923207</v>
      </c>
      <c r="S2596" t="str">
        <f>"9781608764945"</f>
        <v>9781608764945</v>
      </c>
      <c r="T2596">
        <v>610046677</v>
      </c>
    </row>
    <row r="2597" spans="1:20" x14ac:dyDescent="0.25">
      <c r="A2597">
        <v>311081</v>
      </c>
      <c r="B2597" t="s">
        <v>12673</v>
      </c>
      <c r="C2597" t="s">
        <v>12674</v>
      </c>
      <c r="D2597" t="s">
        <v>2269</v>
      </c>
      <c r="E2597" t="s">
        <v>2269</v>
      </c>
      <c r="F2597">
        <v>2009</v>
      </c>
      <c r="G2597" t="s">
        <v>7419</v>
      </c>
      <c r="H2597" t="s">
        <v>12675</v>
      </c>
      <c r="I2597" t="s">
        <v>12676</v>
      </c>
      <c r="J2597" t="s">
        <v>26</v>
      </c>
      <c r="K2597" t="s">
        <v>27</v>
      </c>
      <c r="L2597" t="b">
        <v>1</v>
      </c>
      <c r="M2597" t="s">
        <v>12677</v>
      </c>
      <c r="N2597" t="str">
        <f>"618.1/8"</f>
        <v>618.1/8</v>
      </c>
      <c r="P2597" t="b">
        <v>0</v>
      </c>
      <c r="Q2597" t="b">
        <v>0</v>
      </c>
      <c r="R2597" t="str">
        <f>"9781606928196"</f>
        <v>9781606928196</v>
      </c>
      <c r="S2597" t="str">
        <f>"9781608764921"</f>
        <v>9781608764921</v>
      </c>
      <c r="T2597">
        <v>610046713</v>
      </c>
    </row>
    <row r="2598" spans="1:20" x14ac:dyDescent="0.25">
      <c r="A2598">
        <v>311078</v>
      </c>
      <c r="B2598" t="s">
        <v>12678</v>
      </c>
      <c r="D2598" t="s">
        <v>2269</v>
      </c>
      <c r="E2598" t="s">
        <v>2269</v>
      </c>
      <c r="F2598">
        <v>2009</v>
      </c>
      <c r="G2598" t="s">
        <v>9553</v>
      </c>
      <c r="H2598" t="s">
        <v>12679</v>
      </c>
      <c r="I2598" t="s">
        <v>12680</v>
      </c>
      <c r="J2598" t="s">
        <v>26</v>
      </c>
      <c r="K2598" t="s">
        <v>27</v>
      </c>
      <c r="L2598" t="b">
        <v>1</v>
      </c>
      <c r="M2598" t="s">
        <v>12681</v>
      </c>
      <c r="N2598" t="str">
        <f>"620.1/064"</f>
        <v>620.1/064</v>
      </c>
      <c r="P2598" t="b">
        <v>0</v>
      </c>
      <c r="Q2598" t="b">
        <v>0</v>
      </c>
      <c r="R2598" t="str">
        <f>"9781606924488"</f>
        <v>9781606924488</v>
      </c>
      <c r="S2598" t="str">
        <f>"9781608764792"</f>
        <v>9781608764792</v>
      </c>
      <c r="T2598">
        <v>593295530</v>
      </c>
    </row>
    <row r="2599" spans="1:20" x14ac:dyDescent="0.25">
      <c r="A2599">
        <v>311077</v>
      </c>
      <c r="B2599" t="s">
        <v>12682</v>
      </c>
      <c r="D2599" t="s">
        <v>2269</v>
      </c>
      <c r="E2599" t="s">
        <v>2269</v>
      </c>
      <c r="F2599">
        <v>2009</v>
      </c>
      <c r="G2599" t="s">
        <v>9791</v>
      </c>
      <c r="H2599" t="s">
        <v>12683</v>
      </c>
      <c r="I2599" t="s">
        <v>12684</v>
      </c>
      <c r="J2599" t="s">
        <v>26</v>
      </c>
      <c r="K2599" t="s">
        <v>27</v>
      </c>
      <c r="L2599" t="b">
        <v>1</v>
      </c>
      <c r="M2599" t="s">
        <v>12685</v>
      </c>
      <c r="N2599" t="str">
        <f>"629.8/92"</f>
        <v>629.8/92</v>
      </c>
      <c r="O2599" t="s">
        <v>12686</v>
      </c>
      <c r="P2599" t="b">
        <v>0</v>
      </c>
      <c r="Q2599" t="b">
        <v>0</v>
      </c>
      <c r="R2599" t="str">
        <f>"9781606929056"</f>
        <v>9781606929056</v>
      </c>
      <c r="S2599" t="str">
        <f>"9781608763900"</f>
        <v>9781608763900</v>
      </c>
      <c r="T2599">
        <v>593304106</v>
      </c>
    </row>
    <row r="2600" spans="1:20" x14ac:dyDescent="0.25">
      <c r="A2600">
        <v>311075</v>
      </c>
      <c r="B2600" t="s">
        <v>12687</v>
      </c>
      <c r="C2600" t="s">
        <v>7373</v>
      </c>
      <c r="D2600" t="s">
        <v>2269</v>
      </c>
      <c r="E2600" t="s">
        <v>2269</v>
      </c>
      <c r="F2600">
        <v>2009</v>
      </c>
      <c r="G2600" t="s">
        <v>8789</v>
      </c>
      <c r="H2600" t="s">
        <v>12688</v>
      </c>
      <c r="I2600" t="s">
        <v>12689</v>
      </c>
      <c r="J2600" t="s">
        <v>26</v>
      </c>
      <c r="K2600" t="s">
        <v>27</v>
      </c>
      <c r="L2600" t="b">
        <v>1</v>
      </c>
      <c r="M2600" t="s">
        <v>12690</v>
      </c>
      <c r="N2600" t="str">
        <f>"616.89"</f>
        <v>616.89</v>
      </c>
      <c r="P2600" t="b">
        <v>0</v>
      </c>
      <c r="Q2600" t="b">
        <v>0</v>
      </c>
      <c r="R2600" t="str">
        <f>"9781606926369"</f>
        <v>9781606926369</v>
      </c>
      <c r="S2600" t="str">
        <f>"9781608763276"</f>
        <v>9781608763276</v>
      </c>
      <c r="T2600">
        <v>593295529</v>
      </c>
    </row>
    <row r="2601" spans="1:20" x14ac:dyDescent="0.25">
      <c r="A2601">
        <v>311074</v>
      </c>
      <c r="B2601" t="s">
        <v>12691</v>
      </c>
      <c r="D2601" t="s">
        <v>2269</v>
      </c>
      <c r="E2601" t="s">
        <v>2269</v>
      </c>
      <c r="F2601">
        <v>2009</v>
      </c>
      <c r="G2601" t="s">
        <v>2702</v>
      </c>
      <c r="H2601" t="s">
        <v>12692</v>
      </c>
      <c r="I2601" t="s">
        <v>12693</v>
      </c>
      <c r="J2601" t="s">
        <v>26</v>
      </c>
      <c r="K2601" t="s">
        <v>27</v>
      </c>
      <c r="L2601" t="b">
        <v>1</v>
      </c>
      <c r="M2601" t="s">
        <v>12694</v>
      </c>
      <c r="N2601" t="str">
        <f>"577.6"</f>
        <v>577.6</v>
      </c>
      <c r="P2601" t="b">
        <v>0</v>
      </c>
      <c r="Q2601" t="b">
        <v>0</v>
      </c>
      <c r="R2601" t="str">
        <f>"9781606927724"</f>
        <v>9781606927724</v>
      </c>
      <c r="S2601" t="str">
        <f>"9781608762842"</f>
        <v>9781608762842</v>
      </c>
      <c r="T2601">
        <v>593295528</v>
      </c>
    </row>
    <row r="2602" spans="1:20" x14ac:dyDescent="0.25">
      <c r="A2602">
        <v>311073</v>
      </c>
      <c r="B2602" t="s">
        <v>12695</v>
      </c>
      <c r="C2602" t="s">
        <v>12696</v>
      </c>
      <c r="D2602" t="s">
        <v>2269</v>
      </c>
      <c r="E2602" t="s">
        <v>2269</v>
      </c>
      <c r="F2602">
        <v>2009</v>
      </c>
      <c r="G2602" t="s">
        <v>7419</v>
      </c>
      <c r="H2602" t="s">
        <v>12697</v>
      </c>
      <c r="I2602" t="s">
        <v>12698</v>
      </c>
      <c r="J2602" t="s">
        <v>26</v>
      </c>
      <c r="K2602" t="s">
        <v>27</v>
      </c>
      <c r="L2602" t="b">
        <v>1</v>
      </c>
      <c r="M2602" t="s">
        <v>12699</v>
      </c>
      <c r="N2602" t="str">
        <f>"618.1/75061"</f>
        <v>618.1/75061</v>
      </c>
      <c r="O2602" t="s">
        <v>12700</v>
      </c>
      <c r="P2602" t="b">
        <v>0</v>
      </c>
      <c r="Q2602" t="b">
        <v>0</v>
      </c>
      <c r="R2602" t="str">
        <f>"9781607410867"</f>
        <v>9781607410867</v>
      </c>
      <c r="S2602" t="str">
        <f>"9781608762200"</f>
        <v>9781608762200</v>
      </c>
      <c r="T2602">
        <v>610055123</v>
      </c>
    </row>
    <row r="2603" spans="1:20" x14ac:dyDescent="0.25">
      <c r="A2603">
        <v>310115</v>
      </c>
      <c r="B2603" t="s">
        <v>12701</v>
      </c>
      <c r="D2603" t="s">
        <v>9290</v>
      </c>
      <c r="E2603" t="s">
        <v>9290</v>
      </c>
      <c r="F2603">
        <v>2007</v>
      </c>
      <c r="G2603" t="s">
        <v>1444</v>
      </c>
      <c r="H2603" t="s">
        <v>12702</v>
      </c>
      <c r="I2603" t="s">
        <v>12703</v>
      </c>
      <c r="J2603" t="s">
        <v>26</v>
      </c>
      <c r="K2603" t="s">
        <v>86</v>
      </c>
      <c r="L2603" t="b">
        <v>1</v>
      </c>
      <c r="M2603" t="s">
        <v>12704</v>
      </c>
      <c r="N2603" t="str">
        <f>"364.601"</f>
        <v>364.601</v>
      </c>
      <c r="O2603" t="s">
        <v>12705</v>
      </c>
      <c r="P2603" t="b">
        <v>0</v>
      </c>
      <c r="Q2603" t="b">
        <v>0</v>
      </c>
      <c r="R2603" t="str">
        <f>"9780472069828"</f>
        <v>9780472069828</v>
      </c>
      <c r="S2603" t="str">
        <f>"9780472023172"</f>
        <v>9780472023172</v>
      </c>
      <c r="T2603">
        <v>655045792</v>
      </c>
    </row>
    <row r="2604" spans="1:20" x14ac:dyDescent="0.25">
      <c r="A2604">
        <v>309719</v>
      </c>
      <c r="B2604" t="s">
        <v>12706</v>
      </c>
      <c r="D2604" t="s">
        <v>12141</v>
      </c>
      <c r="E2604" t="s">
        <v>12141</v>
      </c>
      <c r="F2604">
        <v>2010</v>
      </c>
      <c r="G2604" t="s">
        <v>8580</v>
      </c>
      <c r="H2604" t="s">
        <v>12707</v>
      </c>
      <c r="I2604" t="s">
        <v>12708</v>
      </c>
      <c r="J2604" t="s">
        <v>26</v>
      </c>
      <c r="K2604" t="s">
        <v>27</v>
      </c>
      <c r="L2604" t="b">
        <v>1</v>
      </c>
      <c r="M2604" t="s">
        <v>12144</v>
      </c>
      <c r="N2604" t="str">
        <f>"615.33023"</f>
        <v>615.33023</v>
      </c>
      <c r="O2604" t="s">
        <v>12145</v>
      </c>
      <c r="P2604" t="b">
        <v>0</v>
      </c>
      <c r="R2604" t="str">
        <f>"9781585113385"</f>
        <v>9781585113385</v>
      </c>
      <c r="S2604" t="str">
        <f>"9781441640888"</f>
        <v>9781441640888</v>
      </c>
      <c r="T2604">
        <v>574648674</v>
      </c>
    </row>
    <row r="2605" spans="1:20" x14ac:dyDescent="0.25">
      <c r="A2605">
        <v>309718</v>
      </c>
      <c r="B2605" t="s">
        <v>12709</v>
      </c>
      <c r="C2605" t="s">
        <v>12710</v>
      </c>
      <c r="D2605" t="s">
        <v>12141</v>
      </c>
      <c r="E2605" t="s">
        <v>12141</v>
      </c>
      <c r="F2605">
        <v>2010</v>
      </c>
      <c r="G2605" t="s">
        <v>9694</v>
      </c>
      <c r="H2605" t="s">
        <v>12711</v>
      </c>
      <c r="I2605" t="s">
        <v>12712</v>
      </c>
      <c r="J2605" t="s">
        <v>26</v>
      </c>
      <c r="K2605" t="s">
        <v>27</v>
      </c>
      <c r="L2605" t="b">
        <v>1</v>
      </c>
      <c r="M2605" t="s">
        <v>12144</v>
      </c>
      <c r="N2605" t="str">
        <f>"616.85/5023"</f>
        <v>616.85/5023</v>
      </c>
      <c r="O2605" t="s">
        <v>12145</v>
      </c>
      <c r="P2605" t="b">
        <v>0</v>
      </c>
      <c r="R2605" t="str">
        <f>"9781585113521"</f>
        <v>9781585113521</v>
      </c>
      <c r="S2605" t="str">
        <f>"9781441640871"</f>
        <v>9781441640871</v>
      </c>
      <c r="T2605">
        <v>574510333</v>
      </c>
    </row>
    <row r="2606" spans="1:20" x14ac:dyDescent="0.25">
      <c r="A2606">
        <v>309717</v>
      </c>
      <c r="B2606" t="s">
        <v>12713</v>
      </c>
      <c r="C2606" t="s">
        <v>12714</v>
      </c>
      <c r="D2606" t="s">
        <v>12141</v>
      </c>
      <c r="E2606" t="s">
        <v>12141</v>
      </c>
      <c r="F2606">
        <v>2010</v>
      </c>
      <c r="G2606" t="s">
        <v>12715</v>
      </c>
      <c r="H2606" t="s">
        <v>12716</v>
      </c>
      <c r="I2606" t="s">
        <v>12717</v>
      </c>
      <c r="J2606" t="s">
        <v>26</v>
      </c>
      <c r="K2606" t="s">
        <v>27</v>
      </c>
      <c r="L2606" t="b">
        <v>1</v>
      </c>
      <c r="M2606" t="s">
        <v>12144</v>
      </c>
      <c r="N2606" t="str">
        <f>"616.0757"</f>
        <v>616.0757</v>
      </c>
      <c r="O2606" t="s">
        <v>12145</v>
      </c>
      <c r="P2606" t="b">
        <v>0</v>
      </c>
      <c r="R2606" t="str">
        <f>"9781585110223"</f>
        <v>9781585110223</v>
      </c>
      <c r="S2606" t="str">
        <f>"9781441640864"</f>
        <v>9781441640864</v>
      </c>
      <c r="T2606">
        <v>574685111</v>
      </c>
    </row>
    <row r="2607" spans="1:20" x14ac:dyDescent="0.25">
      <c r="A2607">
        <v>309710</v>
      </c>
      <c r="B2607" t="s">
        <v>12718</v>
      </c>
      <c r="C2607" t="s">
        <v>12719</v>
      </c>
      <c r="D2607" t="s">
        <v>12141</v>
      </c>
      <c r="E2607" t="s">
        <v>12141</v>
      </c>
      <c r="F2607">
        <v>2010</v>
      </c>
      <c r="G2607" t="s">
        <v>5739</v>
      </c>
      <c r="H2607" t="s">
        <v>12720</v>
      </c>
      <c r="I2607" t="s">
        <v>12721</v>
      </c>
      <c r="J2607" t="s">
        <v>26</v>
      </c>
      <c r="K2607" t="s">
        <v>27</v>
      </c>
      <c r="L2607" t="b">
        <v>1</v>
      </c>
      <c r="M2607" t="s">
        <v>12144</v>
      </c>
      <c r="N2607" t="str">
        <f>"664/.07"</f>
        <v>664/.07</v>
      </c>
      <c r="O2607" t="s">
        <v>12145</v>
      </c>
      <c r="P2607" t="b">
        <v>0</v>
      </c>
      <c r="R2607" t="str">
        <f>"9781585112036"</f>
        <v>9781585112036</v>
      </c>
      <c r="S2607" t="str">
        <f>"9781441640796"</f>
        <v>9781441640796</v>
      </c>
      <c r="T2607">
        <v>574510362</v>
      </c>
    </row>
    <row r="2608" spans="1:20" x14ac:dyDescent="0.25">
      <c r="A2608">
        <v>309709</v>
      </c>
      <c r="B2608" t="s">
        <v>12722</v>
      </c>
      <c r="C2608" t="s">
        <v>12723</v>
      </c>
      <c r="D2608" t="s">
        <v>12141</v>
      </c>
      <c r="E2608" t="s">
        <v>12141</v>
      </c>
      <c r="F2608">
        <v>2010</v>
      </c>
      <c r="G2608" t="s">
        <v>355</v>
      </c>
      <c r="H2608" t="s">
        <v>12724</v>
      </c>
      <c r="I2608" t="s">
        <v>12725</v>
      </c>
      <c r="J2608" t="s">
        <v>26</v>
      </c>
      <c r="K2608" t="s">
        <v>27</v>
      </c>
      <c r="L2608" t="b">
        <v>1</v>
      </c>
      <c r="M2608" t="s">
        <v>12144</v>
      </c>
      <c r="N2608" t="str">
        <f>"681.4092"</f>
        <v>681.4092</v>
      </c>
      <c r="O2608" t="s">
        <v>12145</v>
      </c>
      <c r="P2608" t="b">
        <v>0</v>
      </c>
      <c r="R2608" t="str">
        <f>"9781585111466"</f>
        <v>9781585111466</v>
      </c>
      <c r="S2608" t="str">
        <f>"9781441640789"</f>
        <v>9781441640789</v>
      </c>
      <c r="T2608">
        <v>574492645</v>
      </c>
    </row>
    <row r="2609" spans="1:20" x14ac:dyDescent="0.25">
      <c r="A2609">
        <v>309371</v>
      </c>
      <c r="B2609" t="s">
        <v>12726</v>
      </c>
      <c r="C2609" t="s">
        <v>12727</v>
      </c>
      <c r="D2609" t="s">
        <v>12141</v>
      </c>
      <c r="E2609" t="s">
        <v>12141</v>
      </c>
      <c r="F2609">
        <v>2010</v>
      </c>
      <c r="G2609" t="s">
        <v>6758</v>
      </c>
      <c r="H2609" t="s">
        <v>12728</v>
      </c>
      <c r="I2609" t="s">
        <v>12729</v>
      </c>
      <c r="J2609" t="s">
        <v>26</v>
      </c>
      <c r="K2609" t="s">
        <v>27</v>
      </c>
      <c r="L2609" t="b">
        <v>1</v>
      </c>
      <c r="M2609" t="s">
        <v>12144</v>
      </c>
      <c r="N2609" t="str">
        <f>"540"</f>
        <v>540</v>
      </c>
      <c r="O2609" t="s">
        <v>12145</v>
      </c>
      <c r="P2609" t="b">
        <v>0</v>
      </c>
      <c r="R2609" t="str">
        <f>"9781585112197"</f>
        <v>9781585112197</v>
      </c>
      <c r="S2609" t="str">
        <f>"9781441640703"</f>
        <v>9781441640703</v>
      </c>
      <c r="T2609">
        <v>574510348</v>
      </c>
    </row>
    <row r="2610" spans="1:20" x14ac:dyDescent="0.25">
      <c r="A2610">
        <v>308150</v>
      </c>
      <c r="B2610" t="s">
        <v>12730</v>
      </c>
      <c r="D2610" t="s">
        <v>10161</v>
      </c>
      <c r="E2610" t="s">
        <v>10161</v>
      </c>
      <c r="F2610">
        <v>2009</v>
      </c>
      <c r="G2610" t="s">
        <v>2203</v>
      </c>
      <c r="H2610" t="s">
        <v>12731</v>
      </c>
      <c r="I2610" t="s">
        <v>12732</v>
      </c>
      <c r="J2610" t="s">
        <v>26</v>
      </c>
      <c r="K2610" t="s">
        <v>27</v>
      </c>
      <c r="L2610" t="b">
        <v>1</v>
      </c>
      <c r="M2610" t="s">
        <v>12733</v>
      </c>
      <c r="N2610" t="str">
        <f>"338.47004091823"</f>
        <v>338.47004091823</v>
      </c>
      <c r="P2610" t="b">
        <v>1</v>
      </c>
      <c r="T2610">
        <v>557091558</v>
      </c>
    </row>
    <row r="2611" spans="1:20" x14ac:dyDescent="0.25">
      <c r="A2611">
        <v>307913</v>
      </c>
      <c r="B2611" t="s">
        <v>12734</v>
      </c>
      <c r="D2611" t="s">
        <v>12182</v>
      </c>
      <c r="E2611" t="s">
        <v>12182</v>
      </c>
      <c r="F2611">
        <v>2009</v>
      </c>
      <c r="G2611" t="s">
        <v>12071</v>
      </c>
      <c r="H2611" t="s">
        <v>12735</v>
      </c>
      <c r="I2611" t="s">
        <v>12736</v>
      </c>
      <c r="J2611" t="s">
        <v>26</v>
      </c>
      <c r="K2611" t="s">
        <v>27</v>
      </c>
      <c r="L2611" t="b">
        <v>1</v>
      </c>
      <c r="M2611" t="s">
        <v>12737</v>
      </c>
      <c r="N2611" t="str">
        <f>"510.76"</f>
        <v>510.76</v>
      </c>
      <c r="P2611" t="b">
        <v>0</v>
      </c>
      <c r="R2611" t="str">
        <f>"9781889057590"</f>
        <v>9781889057590</v>
      </c>
      <c r="S2611" t="str">
        <f>"9781889057682"</f>
        <v>9781889057682</v>
      </c>
      <c r="T2611">
        <v>587443006</v>
      </c>
    </row>
    <row r="2612" spans="1:20" x14ac:dyDescent="0.25">
      <c r="A2612">
        <v>307423</v>
      </c>
      <c r="B2612" t="s">
        <v>12738</v>
      </c>
      <c r="D2612" t="s">
        <v>12187</v>
      </c>
      <c r="E2612" t="s">
        <v>12187</v>
      </c>
      <c r="F2612">
        <v>2008</v>
      </c>
      <c r="G2612" t="s">
        <v>10133</v>
      </c>
      <c r="H2612" t="s">
        <v>12739</v>
      </c>
      <c r="I2612" t="s">
        <v>12740</v>
      </c>
      <c r="J2612" t="s">
        <v>26</v>
      </c>
      <c r="K2612" t="s">
        <v>27</v>
      </c>
      <c r="L2612" t="b">
        <v>1</v>
      </c>
      <c r="M2612" t="s">
        <v>12741</v>
      </c>
      <c r="N2612" t="str">
        <f>"615/.1076"</f>
        <v>615/.1076</v>
      </c>
      <c r="P2612" t="b">
        <v>0</v>
      </c>
      <c r="R2612" t="str">
        <f>"9788122422580"</f>
        <v>9788122422580</v>
      </c>
      <c r="S2612" t="str">
        <f>"9788122429268"</f>
        <v>9788122429268</v>
      </c>
      <c r="T2612">
        <v>575085777</v>
      </c>
    </row>
    <row r="2613" spans="1:20" x14ac:dyDescent="0.25">
      <c r="A2613">
        <v>307422</v>
      </c>
      <c r="B2613" t="s">
        <v>12742</v>
      </c>
      <c r="D2613" t="s">
        <v>12187</v>
      </c>
      <c r="E2613" t="s">
        <v>12187</v>
      </c>
      <c r="F2613">
        <v>2008</v>
      </c>
      <c r="G2613" t="s">
        <v>10066</v>
      </c>
      <c r="H2613" t="s">
        <v>12743</v>
      </c>
      <c r="I2613" t="s">
        <v>12744</v>
      </c>
      <c r="J2613" t="s">
        <v>26</v>
      </c>
      <c r="K2613" t="s">
        <v>27</v>
      </c>
      <c r="L2613" t="b">
        <v>1</v>
      </c>
      <c r="M2613" t="s">
        <v>12741</v>
      </c>
      <c r="N2613" t="str">
        <f>"616.9/041076"</f>
        <v>616.9/041076</v>
      </c>
      <c r="P2613" t="b">
        <v>0</v>
      </c>
      <c r="R2613" t="str">
        <f>"9788122423525"</f>
        <v>9788122423525</v>
      </c>
      <c r="S2613" t="str">
        <f>"9788122429312"</f>
        <v>9788122429312</v>
      </c>
      <c r="T2613">
        <v>575076089</v>
      </c>
    </row>
    <row r="2614" spans="1:20" x14ac:dyDescent="0.25">
      <c r="A2614">
        <v>306103</v>
      </c>
      <c r="B2614" t="s">
        <v>12745</v>
      </c>
      <c r="C2614" t="s">
        <v>12746</v>
      </c>
      <c r="D2614" t="s">
        <v>7324</v>
      </c>
      <c r="E2614" t="s">
        <v>7324</v>
      </c>
      <c r="F2614">
        <v>2008</v>
      </c>
      <c r="G2614" t="s">
        <v>11143</v>
      </c>
      <c r="H2614" t="s">
        <v>12747</v>
      </c>
      <c r="I2614" t="s">
        <v>12748</v>
      </c>
      <c r="J2614" t="s">
        <v>26</v>
      </c>
      <c r="K2614" t="s">
        <v>27</v>
      </c>
      <c r="L2614" t="b">
        <v>1</v>
      </c>
      <c r="M2614" t="s">
        <v>12749</v>
      </c>
      <c r="N2614" t="str">
        <f>"641/.013"</f>
        <v>641/.013</v>
      </c>
      <c r="O2614" t="s">
        <v>12750</v>
      </c>
      <c r="P2614" t="b">
        <v>0</v>
      </c>
      <c r="R2614" t="str">
        <f>"9780520252950"</f>
        <v>9780520252950</v>
      </c>
      <c r="S2614" t="str">
        <f>"9780520942127"</f>
        <v>9780520942127</v>
      </c>
      <c r="T2614">
        <v>592756349</v>
      </c>
    </row>
    <row r="2615" spans="1:20" x14ac:dyDescent="0.25">
      <c r="A2615">
        <v>305566</v>
      </c>
      <c r="B2615" t="s">
        <v>12751</v>
      </c>
      <c r="C2615" t="s">
        <v>12752</v>
      </c>
      <c r="D2615" t="s">
        <v>10310</v>
      </c>
      <c r="E2615" t="s">
        <v>10310</v>
      </c>
      <c r="F2615">
        <v>2009</v>
      </c>
      <c r="G2615" t="s">
        <v>2487</v>
      </c>
      <c r="H2615" t="s">
        <v>12753</v>
      </c>
      <c r="I2615" t="s">
        <v>12754</v>
      </c>
      <c r="J2615" t="s">
        <v>26</v>
      </c>
      <c r="K2615" t="s">
        <v>27</v>
      </c>
      <c r="L2615" t="b">
        <v>1</v>
      </c>
      <c r="M2615" t="s">
        <v>12755</v>
      </c>
      <c r="N2615" t="str">
        <f>"379.2/630973"</f>
        <v>379.2/630973</v>
      </c>
      <c r="P2615" t="b">
        <v>0</v>
      </c>
      <c r="R2615" t="str">
        <f>"9780826516190"</f>
        <v>9780826516190</v>
      </c>
      <c r="S2615" t="str">
        <f>"9780826592545"</f>
        <v>9780826592545</v>
      </c>
      <c r="T2615">
        <v>647847485</v>
      </c>
    </row>
    <row r="2616" spans="1:20" x14ac:dyDescent="0.25">
      <c r="A2616">
        <v>305565</v>
      </c>
      <c r="B2616" t="s">
        <v>12756</v>
      </c>
      <c r="C2616" t="s">
        <v>12757</v>
      </c>
      <c r="D2616" t="s">
        <v>10310</v>
      </c>
      <c r="E2616" t="s">
        <v>10310</v>
      </c>
      <c r="F2616">
        <v>2008</v>
      </c>
      <c r="G2616" t="s">
        <v>12758</v>
      </c>
      <c r="H2616" t="s">
        <v>12759</v>
      </c>
      <c r="I2616" t="s">
        <v>12760</v>
      </c>
      <c r="J2616" t="s">
        <v>26</v>
      </c>
      <c r="K2616" t="s">
        <v>27</v>
      </c>
      <c r="L2616" t="b">
        <v>1</v>
      </c>
      <c r="M2616" t="s">
        <v>12761</v>
      </c>
      <c r="N2616" t="str">
        <f>"362.734089"</f>
        <v>362.734089</v>
      </c>
      <c r="P2616" t="b">
        <v>0</v>
      </c>
      <c r="R2616" t="str">
        <f>"9780826516176"</f>
        <v>9780826516176</v>
      </c>
      <c r="S2616" t="str">
        <f>"9780826592538"</f>
        <v>9780826592538</v>
      </c>
      <c r="T2616">
        <v>593222213</v>
      </c>
    </row>
    <row r="2617" spans="1:20" x14ac:dyDescent="0.25">
      <c r="A2617">
        <v>305564</v>
      </c>
      <c r="B2617" t="s">
        <v>12762</v>
      </c>
      <c r="C2617" t="s">
        <v>12763</v>
      </c>
      <c r="D2617" t="s">
        <v>10310</v>
      </c>
      <c r="E2617" t="s">
        <v>10310</v>
      </c>
      <c r="F2617">
        <v>2008</v>
      </c>
      <c r="G2617" t="s">
        <v>501</v>
      </c>
      <c r="H2617" t="s">
        <v>12764</v>
      </c>
      <c r="J2617" t="s">
        <v>26</v>
      </c>
      <c r="K2617" t="s">
        <v>27</v>
      </c>
      <c r="L2617" t="b">
        <v>1</v>
      </c>
      <c r="M2617" t="s">
        <v>12765</v>
      </c>
      <c r="N2617" t="str">
        <f>"861/.62"</f>
        <v>861/.62</v>
      </c>
      <c r="P2617" t="b">
        <v>0</v>
      </c>
      <c r="R2617" t="str">
        <f>"9780826516138"</f>
        <v>9780826516138</v>
      </c>
      <c r="S2617" t="str">
        <f>"9780826592514"</f>
        <v>9780826592514</v>
      </c>
      <c r="T2617">
        <v>592756266</v>
      </c>
    </row>
    <row r="2618" spans="1:20" x14ac:dyDescent="0.25">
      <c r="A2618">
        <v>305563</v>
      </c>
      <c r="B2618" t="s">
        <v>12766</v>
      </c>
      <c r="C2618" t="s">
        <v>12767</v>
      </c>
      <c r="D2618" t="s">
        <v>10310</v>
      </c>
      <c r="E2618" t="s">
        <v>10310</v>
      </c>
      <c r="F2618">
        <v>2008</v>
      </c>
      <c r="G2618" t="s">
        <v>1591</v>
      </c>
      <c r="H2618" t="s">
        <v>12768</v>
      </c>
      <c r="I2618" t="s">
        <v>12769</v>
      </c>
      <c r="J2618" t="s">
        <v>26</v>
      </c>
      <c r="K2618" t="s">
        <v>27</v>
      </c>
      <c r="L2618" t="b">
        <v>1</v>
      </c>
      <c r="M2618" t="s">
        <v>12770</v>
      </c>
      <c r="N2618" t="str">
        <f>"305.800973"</f>
        <v>305.800973</v>
      </c>
      <c r="P2618" t="b">
        <v>0</v>
      </c>
      <c r="R2618" t="str">
        <f>"9780826515964"</f>
        <v>9780826515964</v>
      </c>
      <c r="S2618" t="str">
        <f>"9780826592446"</f>
        <v>9780826592446</v>
      </c>
      <c r="T2618">
        <v>592756265</v>
      </c>
    </row>
    <row r="2619" spans="1:20" x14ac:dyDescent="0.25">
      <c r="A2619">
        <v>305561</v>
      </c>
      <c r="B2619" t="s">
        <v>12771</v>
      </c>
      <c r="C2619" t="s">
        <v>12772</v>
      </c>
      <c r="D2619" t="s">
        <v>10310</v>
      </c>
      <c r="E2619" t="s">
        <v>10310</v>
      </c>
      <c r="F2619">
        <v>2008</v>
      </c>
      <c r="G2619" t="s">
        <v>7660</v>
      </c>
      <c r="H2619" t="s">
        <v>12773</v>
      </c>
      <c r="J2619" t="s">
        <v>26</v>
      </c>
      <c r="K2619" t="s">
        <v>27</v>
      </c>
      <c r="L2619" t="b">
        <v>1</v>
      </c>
      <c r="M2619" t="s">
        <v>12774</v>
      </c>
      <c r="N2619" t="str">
        <f>"975/.043"</f>
        <v>975/.043</v>
      </c>
      <c r="P2619" t="b">
        <v>0</v>
      </c>
      <c r="R2619" t="str">
        <f>"9780826515889"</f>
        <v>9780826515889</v>
      </c>
      <c r="S2619" t="str">
        <f>"9780826592408"</f>
        <v>9780826592408</v>
      </c>
      <c r="T2619">
        <v>593222206</v>
      </c>
    </row>
    <row r="2620" spans="1:20" x14ac:dyDescent="0.25">
      <c r="A2620">
        <v>305559</v>
      </c>
      <c r="B2620" t="s">
        <v>12775</v>
      </c>
      <c r="C2620" t="s">
        <v>12776</v>
      </c>
      <c r="D2620" t="s">
        <v>10310</v>
      </c>
      <c r="E2620" t="s">
        <v>10310</v>
      </c>
      <c r="F2620">
        <v>2009</v>
      </c>
      <c r="G2620" t="s">
        <v>8167</v>
      </c>
      <c r="H2620" t="s">
        <v>12777</v>
      </c>
      <c r="I2620" t="s">
        <v>12778</v>
      </c>
      <c r="J2620" t="s">
        <v>26</v>
      </c>
      <c r="K2620" t="s">
        <v>27</v>
      </c>
      <c r="L2620" t="b">
        <v>1</v>
      </c>
      <c r="M2620" t="s">
        <v>12779</v>
      </c>
      <c r="N2620" t="str">
        <f>"821/.3093581"</f>
        <v>821/.3093581</v>
      </c>
      <c r="P2620" t="b">
        <v>0</v>
      </c>
      <c r="R2620" t="str">
        <f>"9780826516626"</f>
        <v>9780826516626</v>
      </c>
      <c r="S2620" t="str">
        <f>"9780826516640"</f>
        <v>9780826516640</v>
      </c>
      <c r="T2620">
        <v>593222202</v>
      </c>
    </row>
    <row r="2621" spans="1:20" x14ac:dyDescent="0.25">
      <c r="A2621">
        <v>305558</v>
      </c>
      <c r="B2621" t="s">
        <v>12780</v>
      </c>
      <c r="D2621" t="s">
        <v>10310</v>
      </c>
      <c r="E2621" t="s">
        <v>10310</v>
      </c>
      <c r="F2621">
        <v>2009</v>
      </c>
      <c r="G2621" t="s">
        <v>57</v>
      </c>
      <c r="H2621" t="s">
        <v>12781</v>
      </c>
      <c r="I2621" t="s">
        <v>12782</v>
      </c>
      <c r="J2621" t="s">
        <v>26</v>
      </c>
      <c r="K2621" t="s">
        <v>27</v>
      </c>
      <c r="L2621" t="b">
        <v>1</v>
      </c>
      <c r="M2621" t="s">
        <v>12783</v>
      </c>
      <c r="N2621" t="str">
        <f>"303.3/80972"</f>
        <v>303.3/80972</v>
      </c>
      <c r="P2621" t="b">
        <v>0</v>
      </c>
      <c r="R2621" t="str">
        <f>"9780826516381"</f>
        <v>9780826516381</v>
      </c>
      <c r="S2621" t="str">
        <f>"9780826516404"</f>
        <v>9780826516404</v>
      </c>
      <c r="T2621">
        <v>609681219</v>
      </c>
    </row>
    <row r="2622" spans="1:20" x14ac:dyDescent="0.25">
      <c r="A2622">
        <v>304930</v>
      </c>
      <c r="B2622" t="s">
        <v>12784</v>
      </c>
      <c r="C2622" t="s">
        <v>12785</v>
      </c>
      <c r="D2622" t="s">
        <v>10310</v>
      </c>
      <c r="E2622" t="s">
        <v>10310</v>
      </c>
      <c r="F2622">
        <v>2009</v>
      </c>
      <c r="G2622" t="s">
        <v>12786</v>
      </c>
      <c r="H2622" t="s">
        <v>12787</v>
      </c>
      <c r="I2622" t="s">
        <v>12788</v>
      </c>
      <c r="J2622" t="s">
        <v>26</v>
      </c>
      <c r="K2622" t="s">
        <v>27</v>
      </c>
      <c r="L2622" t="b">
        <v>1</v>
      </c>
      <c r="M2622" t="s">
        <v>12789</v>
      </c>
      <c r="N2622" t="str">
        <f>"306.73/6"</f>
        <v>306.73/6</v>
      </c>
      <c r="P2622" t="b">
        <v>0</v>
      </c>
      <c r="R2622" t="str">
        <f>"9780826516824"</f>
        <v>9780826516824</v>
      </c>
      <c r="S2622" t="str">
        <f>"9780826516848"</f>
        <v>9780826516848</v>
      </c>
      <c r="T2622">
        <v>592756260</v>
      </c>
    </row>
    <row r="2623" spans="1:20" x14ac:dyDescent="0.25">
      <c r="A2623">
        <v>304929</v>
      </c>
      <c r="B2623" t="s">
        <v>12790</v>
      </c>
      <c r="D2623" t="s">
        <v>10310</v>
      </c>
      <c r="E2623" t="s">
        <v>10310</v>
      </c>
      <c r="F2623">
        <v>2009</v>
      </c>
      <c r="G2623" t="s">
        <v>12791</v>
      </c>
      <c r="H2623" t="s">
        <v>12792</v>
      </c>
      <c r="I2623" t="s">
        <v>12793</v>
      </c>
      <c r="J2623" t="s">
        <v>26</v>
      </c>
      <c r="K2623" t="s">
        <v>27</v>
      </c>
      <c r="L2623" t="b">
        <v>1</v>
      </c>
      <c r="M2623" t="s">
        <v>12794</v>
      </c>
      <c r="N2623" t="str">
        <f>"320.5"</f>
        <v>320.5</v>
      </c>
      <c r="P2623" t="b">
        <v>0</v>
      </c>
      <c r="R2623" t="str">
        <f>"9780826516688"</f>
        <v>9780826516688</v>
      </c>
      <c r="S2623" t="str">
        <f>"9780826516701"</f>
        <v>9780826516701</v>
      </c>
      <c r="T2623">
        <v>593222160</v>
      </c>
    </row>
    <row r="2624" spans="1:20" x14ac:dyDescent="0.25">
      <c r="A2624">
        <v>304928</v>
      </c>
      <c r="B2624" t="s">
        <v>12795</v>
      </c>
      <c r="C2624" t="s">
        <v>12796</v>
      </c>
      <c r="D2624" t="s">
        <v>10310</v>
      </c>
      <c r="E2624" t="s">
        <v>10310</v>
      </c>
      <c r="F2624">
        <v>2009</v>
      </c>
      <c r="G2624" t="s">
        <v>804</v>
      </c>
      <c r="H2624" t="s">
        <v>12797</v>
      </c>
      <c r="I2624" t="s">
        <v>12798</v>
      </c>
      <c r="J2624" t="s">
        <v>26</v>
      </c>
      <c r="K2624" t="s">
        <v>27</v>
      </c>
      <c r="L2624" t="b">
        <v>1</v>
      </c>
      <c r="M2624" t="s">
        <v>12799</v>
      </c>
      <c r="N2624" t="str">
        <f>"306.098/09034"</f>
        <v>306.098/09034</v>
      </c>
      <c r="P2624" t="b">
        <v>0</v>
      </c>
      <c r="R2624" t="str">
        <f>"9780826516657"</f>
        <v>9780826516657</v>
      </c>
      <c r="S2624" t="str">
        <f>"9780826516671"</f>
        <v>9780826516671</v>
      </c>
      <c r="T2624">
        <v>592756259</v>
      </c>
    </row>
    <row r="2625" spans="1:20" x14ac:dyDescent="0.25">
      <c r="A2625">
        <v>304927</v>
      </c>
      <c r="B2625" t="s">
        <v>12800</v>
      </c>
      <c r="C2625" t="s">
        <v>12801</v>
      </c>
      <c r="D2625" t="s">
        <v>10310</v>
      </c>
      <c r="E2625" t="s">
        <v>10310</v>
      </c>
      <c r="F2625">
        <v>2009</v>
      </c>
      <c r="G2625" t="s">
        <v>1873</v>
      </c>
      <c r="H2625" t="s">
        <v>12802</v>
      </c>
      <c r="I2625" t="s">
        <v>12803</v>
      </c>
      <c r="J2625" t="s">
        <v>26</v>
      </c>
      <c r="K2625" t="s">
        <v>27</v>
      </c>
      <c r="L2625" t="b">
        <v>1</v>
      </c>
      <c r="M2625" t="s">
        <v>12804</v>
      </c>
      <c r="N2625" t="str">
        <f>"361.80973"</f>
        <v>361.80973</v>
      </c>
      <c r="P2625" t="b">
        <v>0</v>
      </c>
      <c r="R2625" t="str">
        <f>"9780826516565"</f>
        <v>9780826516565</v>
      </c>
      <c r="S2625" t="str">
        <f>"9780826516589"</f>
        <v>9780826516589</v>
      </c>
      <c r="T2625">
        <v>593222154</v>
      </c>
    </row>
    <row r="2626" spans="1:20" x14ac:dyDescent="0.25">
      <c r="A2626">
        <v>302912</v>
      </c>
      <c r="B2626" t="s">
        <v>12805</v>
      </c>
      <c r="D2626" t="s">
        <v>131</v>
      </c>
      <c r="E2626" t="s">
        <v>1885</v>
      </c>
      <c r="F2626">
        <v>2010</v>
      </c>
      <c r="G2626" t="s">
        <v>12806</v>
      </c>
      <c r="H2626" t="s">
        <v>12807</v>
      </c>
      <c r="I2626" t="s">
        <v>12808</v>
      </c>
      <c r="J2626" t="s">
        <v>26</v>
      </c>
      <c r="K2626" t="s">
        <v>86</v>
      </c>
      <c r="L2626" t="b">
        <v>1</v>
      </c>
      <c r="M2626" t="s">
        <v>9562</v>
      </c>
      <c r="N2626" t="str">
        <f>"133.4/23"</f>
        <v>133.4/23</v>
      </c>
      <c r="P2626" t="b">
        <v>0</v>
      </c>
      <c r="Q2626" t="b">
        <v>0</v>
      </c>
      <c r="R2626" t="str">
        <f>"9781578592555"</f>
        <v>9781578592555</v>
      </c>
      <c r="S2626" t="str">
        <f>"9781578592753"</f>
        <v>9781578592753</v>
      </c>
      <c r="T2626">
        <v>551780694</v>
      </c>
    </row>
    <row r="2627" spans="1:20" x14ac:dyDescent="0.25">
      <c r="A2627">
        <v>302910</v>
      </c>
      <c r="B2627" t="s">
        <v>12809</v>
      </c>
      <c r="D2627" t="s">
        <v>131</v>
      </c>
      <c r="E2627" t="s">
        <v>1885</v>
      </c>
      <c r="F2627">
        <v>2010</v>
      </c>
      <c r="G2627" t="s">
        <v>12810</v>
      </c>
      <c r="H2627" t="s">
        <v>12811</v>
      </c>
      <c r="I2627" t="s">
        <v>12812</v>
      </c>
      <c r="J2627" t="s">
        <v>26</v>
      </c>
      <c r="K2627" t="s">
        <v>86</v>
      </c>
      <c r="L2627" t="b">
        <v>1</v>
      </c>
      <c r="M2627" t="s">
        <v>2912</v>
      </c>
      <c r="N2627" t="str">
        <f>"567.9"</f>
        <v>567.9</v>
      </c>
      <c r="O2627" t="s">
        <v>12813</v>
      </c>
      <c r="P2627" t="b">
        <v>0</v>
      </c>
      <c r="Q2627" t="b">
        <v>0</v>
      </c>
      <c r="R2627" t="str">
        <f>"9781578592180"</f>
        <v>9781578592180</v>
      </c>
      <c r="S2627" t="str">
        <f>"9781578592784"</f>
        <v>9781578592784</v>
      </c>
      <c r="T2627">
        <v>551781761</v>
      </c>
    </row>
    <row r="2628" spans="1:20" x14ac:dyDescent="0.25">
      <c r="A2628">
        <v>302858</v>
      </c>
      <c r="B2628" t="s">
        <v>12814</v>
      </c>
      <c r="D2628" t="s">
        <v>1364</v>
      </c>
      <c r="E2628" t="s">
        <v>1364</v>
      </c>
      <c r="F2628">
        <v>2009</v>
      </c>
      <c r="G2628" t="s">
        <v>5054</v>
      </c>
      <c r="H2628" t="s">
        <v>12815</v>
      </c>
      <c r="I2628" t="s">
        <v>12816</v>
      </c>
      <c r="J2628" t="s">
        <v>7790</v>
      </c>
      <c r="K2628" t="s">
        <v>27</v>
      </c>
      <c r="L2628" t="b">
        <v>1</v>
      </c>
      <c r="M2628" t="s">
        <v>12817</v>
      </c>
      <c r="N2628" t="str">
        <f>"943/.10874"</f>
        <v>943/.10874</v>
      </c>
      <c r="O2628" t="s">
        <v>12818</v>
      </c>
      <c r="P2628" t="b">
        <v>0</v>
      </c>
      <c r="R2628" t="str">
        <f>"9783110230147"</f>
        <v>9783110230147</v>
      </c>
      <c r="S2628" t="str">
        <f>"9783110230154"</f>
        <v>9783110230154</v>
      </c>
      <c r="T2628">
        <v>560367359</v>
      </c>
    </row>
    <row r="2629" spans="1:20" x14ac:dyDescent="0.25">
      <c r="A2629">
        <v>302344</v>
      </c>
      <c r="B2629" t="s">
        <v>12819</v>
      </c>
      <c r="C2629" t="s">
        <v>12820</v>
      </c>
      <c r="D2629" t="s">
        <v>2269</v>
      </c>
      <c r="E2629" t="s">
        <v>2269</v>
      </c>
      <c r="F2629">
        <v>2009</v>
      </c>
      <c r="G2629" t="s">
        <v>9548</v>
      </c>
      <c r="H2629" t="s">
        <v>12821</v>
      </c>
      <c r="I2629" t="s">
        <v>12822</v>
      </c>
      <c r="J2629" t="s">
        <v>26</v>
      </c>
      <c r="K2629" t="s">
        <v>27</v>
      </c>
      <c r="L2629" t="b">
        <v>1</v>
      </c>
      <c r="M2629" t="s">
        <v>12823</v>
      </c>
      <c r="N2629" t="str">
        <f>"620.1/1223"</f>
        <v>620.1/1223</v>
      </c>
      <c r="O2629" t="s">
        <v>7355</v>
      </c>
      <c r="P2629" t="b">
        <v>0</v>
      </c>
      <c r="Q2629" t="b">
        <v>0</v>
      </c>
      <c r="R2629" t="str">
        <f>"9781607418375"</f>
        <v>9781607418375</v>
      </c>
      <c r="S2629" t="str">
        <f>"9781616682262"</f>
        <v>9781616682262</v>
      </c>
      <c r="T2629">
        <v>834604215</v>
      </c>
    </row>
    <row r="2630" spans="1:20" x14ac:dyDescent="0.25">
      <c r="A2630">
        <v>302299</v>
      </c>
      <c r="B2630" t="s">
        <v>12824</v>
      </c>
      <c r="C2630" t="s">
        <v>7373</v>
      </c>
      <c r="D2630" t="s">
        <v>2269</v>
      </c>
      <c r="E2630" t="s">
        <v>2269</v>
      </c>
      <c r="F2630">
        <v>2009</v>
      </c>
      <c r="G2630" t="s">
        <v>10683</v>
      </c>
      <c r="H2630" t="s">
        <v>12825</v>
      </c>
      <c r="I2630" t="s">
        <v>12826</v>
      </c>
      <c r="J2630" t="s">
        <v>26</v>
      </c>
      <c r="K2630" t="s">
        <v>27</v>
      </c>
      <c r="L2630" t="b">
        <v>1</v>
      </c>
      <c r="M2630" t="s">
        <v>12827</v>
      </c>
      <c r="N2630" t="str">
        <f>"512/.482"</f>
        <v>512/.482</v>
      </c>
      <c r="O2630" t="s">
        <v>9334</v>
      </c>
      <c r="P2630" t="b">
        <v>0</v>
      </c>
      <c r="Q2630" t="b">
        <v>0</v>
      </c>
      <c r="R2630" t="str">
        <f>"9781606923894"</f>
        <v>9781606923894</v>
      </c>
      <c r="S2630" t="str">
        <f>"9781616681647"</f>
        <v>9781616681647</v>
      </c>
      <c r="T2630">
        <v>693781079</v>
      </c>
    </row>
    <row r="2631" spans="1:20" x14ac:dyDescent="0.25">
      <c r="A2631">
        <v>302297</v>
      </c>
      <c r="B2631" t="s">
        <v>12828</v>
      </c>
      <c r="C2631" t="s">
        <v>12829</v>
      </c>
      <c r="D2631" t="s">
        <v>2269</v>
      </c>
      <c r="E2631" t="s">
        <v>2269</v>
      </c>
      <c r="F2631">
        <v>2009</v>
      </c>
      <c r="G2631" t="s">
        <v>10066</v>
      </c>
      <c r="H2631" t="s">
        <v>12830</v>
      </c>
      <c r="I2631" t="s">
        <v>12831</v>
      </c>
      <c r="J2631" t="s">
        <v>26</v>
      </c>
      <c r="K2631" t="s">
        <v>27</v>
      </c>
      <c r="L2631" t="b">
        <v>1</v>
      </c>
      <c r="M2631" t="s">
        <v>12832</v>
      </c>
      <c r="N2631" t="str">
        <f>"616.9/041"</f>
        <v>616.9/041</v>
      </c>
      <c r="O2631" t="s">
        <v>12833</v>
      </c>
      <c r="P2631" t="b">
        <v>0</v>
      </c>
      <c r="Q2631" t="b">
        <v>0</v>
      </c>
      <c r="R2631" t="str">
        <f>"9781607416234"</f>
        <v>9781607416234</v>
      </c>
      <c r="S2631" t="str">
        <f>"9781616681623"</f>
        <v>9781616681623</v>
      </c>
      <c r="T2631">
        <v>698079109</v>
      </c>
    </row>
    <row r="2632" spans="1:20" x14ac:dyDescent="0.25">
      <c r="A2632">
        <v>302291</v>
      </c>
      <c r="B2632" t="s">
        <v>12834</v>
      </c>
      <c r="D2632" t="s">
        <v>2269</v>
      </c>
      <c r="E2632" t="s">
        <v>2269</v>
      </c>
      <c r="F2632">
        <v>2009</v>
      </c>
      <c r="G2632" t="s">
        <v>12835</v>
      </c>
      <c r="H2632" t="s">
        <v>12836</v>
      </c>
      <c r="I2632" t="s">
        <v>12837</v>
      </c>
      <c r="J2632" t="s">
        <v>26</v>
      </c>
      <c r="K2632" t="s">
        <v>27</v>
      </c>
      <c r="L2632" t="b">
        <v>1</v>
      </c>
      <c r="M2632" t="s">
        <v>12838</v>
      </c>
      <c r="N2632" t="str">
        <f>"616.89/1562"</f>
        <v>616.89/1562</v>
      </c>
      <c r="P2632" t="b">
        <v>0</v>
      </c>
      <c r="Q2632" t="b">
        <v>0</v>
      </c>
      <c r="R2632" t="str">
        <f>"9781606924211"</f>
        <v>9781606924211</v>
      </c>
      <c r="S2632" t="str">
        <f>"9781616681210"</f>
        <v>9781616681210</v>
      </c>
      <c r="T2632">
        <v>556076137</v>
      </c>
    </row>
    <row r="2633" spans="1:20" x14ac:dyDescent="0.25">
      <c r="A2633">
        <v>299445</v>
      </c>
      <c r="B2633" t="s">
        <v>12839</v>
      </c>
      <c r="D2633" t="s">
        <v>2269</v>
      </c>
      <c r="E2633" t="s">
        <v>2269</v>
      </c>
      <c r="F2633">
        <v>2009</v>
      </c>
      <c r="G2633" t="s">
        <v>12840</v>
      </c>
      <c r="H2633" t="s">
        <v>12841</v>
      </c>
      <c r="I2633" t="s">
        <v>12842</v>
      </c>
      <c r="J2633" t="s">
        <v>26</v>
      </c>
      <c r="K2633" t="s">
        <v>27</v>
      </c>
      <c r="L2633" t="b">
        <v>1</v>
      </c>
      <c r="M2633" t="s">
        <v>12843</v>
      </c>
      <c r="N2633" t="str">
        <f>"572.8/295"</f>
        <v>572.8/295</v>
      </c>
      <c r="P2633" t="b">
        <v>0</v>
      </c>
      <c r="Q2633" t="b">
        <v>0</v>
      </c>
      <c r="R2633" t="str">
        <f>"9781604569094"</f>
        <v>9781604569094</v>
      </c>
      <c r="S2633" t="str">
        <f>"9781608763702"</f>
        <v>9781608763702</v>
      </c>
      <c r="T2633">
        <v>556038093</v>
      </c>
    </row>
    <row r="2634" spans="1:20" x14ac:dyDescent="0.25">
      <c r="A2634">
        <v>299381</v>
      </c>
      <c r="B2634" t="s">
        <v>12844</v>
      </c>
      <c r="C2634" t="s">
        <v>12845</v>
      </c>
      <c r="D2634" t="s">
        <v>7757</v>
      </c>
      <c r="E2634" t="s">
        <v>7757</v>
      </c>
      <c r="F2634">
        <v>2010</v>
      </c>
      <c r="G2634" t="s">
        <v>4092</v>
      </c>
      <c r="H2634" t="s">
        <v>12846</v>
      </c>
      <c r="I2634" t="s">
        <v>12847</v>
      </c>
      <c r="J2634" t="s">
        <v>26</v>
      </c>
      <c r="K2634" t="s">
        <v>86</v>
      </c>
      <c r="L2634" t="b">
        <v>1</v>
      </c>
      <c r="M2634" t="s">
        <v>12848</v>
      </c>
      <c r="N2634" t="str">
        <f>"362.710941"</f>
        <v>362.710941</v>
      </c>
      <c r="P2634" t="b">
        <v>0</v>
      </c>
      <c r="R2634" t="str">
        <f>"9781843105688"</f>
        <v>9781843105688</v>
      </c>
      <c r="S2634" t="str">
        <f>"9780857001832"</f>
        <v>9780857001832</v>
      </c>
      <c r="T2634">
        <v>501076845</v>
      </c>
    </row>
    <row r="2635" spans="1:20" x14ac:dyDescent="0.25">
      <c r="A2635">
        <v>299107</v>
      </c>
      <c r="B2635" t="s">
        <v>12849</v>
      </c>
      <c r="C2635" t="s">
        <v>12850</v>
      </c>
      <c r="D2635" t="s">
        <v>5828</v>
      </c>
      <c r="E2635" t="s">
        <v>12469</v>
      </c>
      <c r="F2635">
        <v>2009</v>
      </c>
      <c r="G2635" t="s">
        <v>12005</v>
      </c>
      <c r="H2635" t="s">
        <v>12851</v>
      </c>
      <c r="I2635" t="s">
        <v>12852</v>
      </c>
      <c r="J2635" t="s">
        <v>26</v>
      </c>
      <c r="K2635" t="s">
        <v>27</v>
      </c>
      <c r="L2635" t="b">
        <v>1</v>
      </c>
      <c r="M2635" t="s">
        <v>12853</v>
      </c>
      <c r="N2635" t="str">
        <f>"362.292"</f>
        <v>362.292</v>
      </c>
      <c r="O2635" t="s">
        <v>12854</v>
      </c>
      <c r="P2635" t="b">
        <v>0</v>
      </c>
      <c r="T2635">
        <v>437114892</v>
      </c>
    </row>
    <row r="2636" spans="1:20" x14ac:dyDescent="0.25">
      <c r="A2636">
        <v>298992</v>
      </c>
      <c r="B2636" t="s">
        <v>12855</v>
      </c>
      <c r="D2636" t="s">
        <v>98</v>
      </c>
      <c r="E2636" t="s">
        <v>99</v>
      </c>
      <c r="F2636">
        <v>2009</v>
      </c>
      <c r="G2636" t="s">
        <v>1544</v>
      </c>
      <c r="H2636" t="s">
        <v>12856</v>
      </c>
      <c r="I2636" t="s">
        <v>12857</v>
      </c>
      <c r="J2636" t="s">
        <v>26</v>
      </c>
      <c r="K2636" t="s">
        <v>27</v>
      </c>
      <c r="L2636" t="b">
        <v>1</v>
      </c>
      <c r="M2636" t="s">
        <v>12858</v>
      </c>
      <c r="N2636" t="str">
        <f>"339"</f>
        <v>339</v>
      </c>
      <c r="P2636" t="b">
        <v>0</v>
      </c>
      <c r="R2636" t="str">
        <f>"9780199564408"</f>
        <v>9780199564408</v>
      </c>
      <c r="S2636" t="str">
        <f>"9780191570575"</f>
        <v>9780191570575</v>
      </c>
      <c r="T2636">
        <v>551426339</v>
      </c>
    </row>
    <row r="2637" spans="1:20" x14ac:dyDescent="0.25">
      <c r="A2637">
        <v>295548</v>
      </c>
      <c r="B2637" t="s">
        <v>12859</v>
      </c>
      <c r="C2637" t="s">
        <v>12860</v>
      </c>
      <c r="D2637" t="s">
        <v>10249</v>
      </c>
      <c r="E2637" t="s">
        <v>10249</v>
      </c>
      <c r="F2637">
        <v>2001</v>
      </c>
      <c r="G2637" t="s">
        <v>57</v>
      </c>
      <c r="H2637" t="s">
        <v>12861</v>
      </c>
      <c r="I2637" t="s">
        <v>12862</v>
      </c>
      <c r="J2637" t="s">
        <v>26</v>
      </c>
      <c r="K2637" t="s">
        <v>86</v>
      </c>
      <c r="L2637" t="b">
        <v>1</v>
      </c>
      <c r="M2637" t="s">
        <v>12863</v>
      </c>
      <c r="N2637" t="str">
        <f>"306.4/2"</f>
        <v>306.4/2</v>
      </c>
      <c r="P2637" t="b">
        <v>0</v>
      </c>
      <c r="R2637" t="str">
        <f>"9780691158280"</f>
        <v>9780691158280</v>
      </c>
      <c r="S2637" t="str">
        <f>"9781400831135"</f>
        <v>9781400831135</v>
      </c>
      <c r="T2637">
        <v>496293589</v>
      </c>
    </row>
    <row r="2638" spans="1:20" x14ac:dyDescent="0.25">
      <c r="A2638">
        <v>295366</v>
      </c>
      <c r="B2638" t="s">
        <v>12864</v>
      </c>
      <c r="D2638" t="s">
        <v>9418</v>
      </c>
      <c r="E2638" t="s">
        <v>2239</v>
      </c>
      <c r="F2638">
        <v>2010</v>
      </c>
      <c r="G2638" t="s">
        <v>9618</v>
      </c>
      <c r="H2638" t="s">
        <v>12865</v>
      </c>
      <c r="I2638" t="s">
        <v>12866</v>
      </c>
      <c r="J2638" t="s">
        <v>26</v>
      </c>
      <c r="K2638" t="s">
        <v>86</v>
      </c>
      <c r="L2638" t="b">
        <v>1</v>
      </c>
      <c r="M2638" t="s">
        <v>12867</v>
      </c>
      <c r="N2638" t="str">
        <f>"158/.35"</f>
        <v>158/.35</v>
      </c>
      <c r="P2638" t="b">
        <v>0</v>
      </c>
      <c r="R2638" t="str">
        <f>"9780415482295"</f>
        <v>9780415482295</v>
      </c>
      <c r="S2638" t="str">
        <f>"9780203870723"</f>
        <v>9780203870723</v>
      </c>
      <c r="T2638">
        <v>475063767</v>
      </c>
    </row>
    <row r="2639" spans="1:20" x14ac:dyDescent="0.25">
      <c r="A2639">
        <v>294675</v>
      </c>
      <c r="B2639" t="s">
        <v>12868</v>
      </c>
      <c r="D2639" t="s">
        <v>203</v>
      </c>
      <c r="E2639" t="s">
        <v>1109</v>
      </c>
      <c r="F2639">
        <v>2009</v>
      </c>
      <c r="G2639" t="s">
        <v>1110</v>
      </c>
      <c r="H2639" t="s">
        <v>12869</v>
      </c>
      <c r="I2639" t="s">
        <v>12870</v>
      </c>
      <c r="J2639" t="s">
        <v>26</v>
      </c>
      <c r="K2639" t="s">
        <v>86</v>
      </c>
      <c r="L2639" t="b">
        <v>1</v>
      </c>
      <c r="M2639" t="s">
        <v>12871</v>
      </c>
      <c r="N2639" t="str">
        <f>"362.10941"</f>
        <v>362.10941</v>
      </c>
      <c r="P2639" t="b">
        <v>0</v>
      </c>
      <c r="R2639" t="str">
        <f>"9781904671770"</f>
        <v>9781904671770</v>
      </c>
      <c r="S2639" t="str">
        <f>"9781904671831"</f>
        <v>9781904671831</v>
      </c>
      <c r="T2639">
        <v>465235132</v>
      </c>
    </row>
    <row r="2640" spans="1:20" x14ac:dyDescent="0.25">
      <c r="A2640">
        <v>293816</v>
      </c>
      <c r="B2640" t="s">
        <v>12872</v>
      </c>
      <c r="D2640" t="s">
        <v>12873</v>
      </c>
      <c r="E2640" t="s">
        <v>12873</v>
      </c>
      <c r="F2640">
        <v>2006</v>
      </c>
      <c r="G2640" t="s">
        <v>12874</v>
      </c>
      <c r="H2640" t="s">
        <v>12875</v>
      </c>
      <c r="I2640" t="s">
        <v>12876</v>
      </c>
      <c r="J2640" t="s">
        <v>26</v>
      </c>
      <c r="K2640" t="s">
        <v>27</v>
      </c>
      <c r="L2640" t="b">
        <v>1</v>
      </c>
      <c r="M2640" t="s">
        <v>12877</v>
      </c>
      <c r="N2640" t="str">
        <f>"610.69"</f>
        <v>610.69</v>
      </c>
      <c r="O2640" t="s">
        <v>12878</v>
      </c>
      <c r="P2640" t="b">
        <v>0</v>
      </c>
      <c r="R2640" t="str">
        <f>"9781582075334"</f>
        <v>9781582075334</v>
      </c>
      <c r="S2640" t="str">
        <f>"9781441625854"</f>
        <v>9781441625854</v>
      </c>
      <c r="T2640">
        <v>456574390</v>
      </c>
    </row>
    <row r="2641" spans="1:20" x14ac:dyDescent="0.25">
      <c r="A2641">
        <v>293789</v>
      </c>
      <c r="B2641" t="s">
        <v>12879</v>
      </c>
      <c r="D2641" t="s">
        <v>12873</v>
      </c>
      <c r="E2641" t="s">
        <v>12873</v>
      </c>
      <c r="F2641">
        <v>2008</v>
      </c>
      <c r="G2641" t="s">
        <v>349</v>
      </c>
      <c r="H2641" t="s">
        <v>12880</v>
      </c>
      <c r="I2641" t="s">
        <v>12881</v>
      </c>
      <c r="J2641" t="s">
        <v>26</v>
      </c>
      <c r="K2641" t="s">
        <v>27</v>
      </c>
      <c r="L2641" t="b">
        <v>1</v>
      </c>
      <c r="M2641" t="s">
        <v>12877</v>
      </c>
      <c r="N2641" t="str">
        <f>"620/.0023/73"</f>
        <v>620/.0023/73</v>
      </c>
      <c r="O2641" t="s">
        <v>12882</v>
      </c>
      <c r="P2641" t="b">
        <v>0</v>
      </c>
      <c r="R2641" t="str">
        <f>"9781582077642"</f>
        <v>9781582077642</v>
      </c>
      <c r="S2641" t="str">
        <f>"9781582077659"</f>
        <v>9781582077659</v>
      </c>
      <c r="T2641">
        <v>460718052</v>
      </c>
    </row>
    <row r="2642" spans="1:20" x14ac:dyDescent="0.25">
      <c r="A2642">
        <v>293761</v>
      </c>
      <c r="B2642" t="s">
        <v>12883</v>
      </c>
      <c r="D2642" t="s">
        <v>12873</v>
      </c>
      <c r="E2642" t="s">
        <v>12873</v>
      </c>
      <c r="F2642">
        <v>2009</v>
      </c>
      <c r="G2642" t="s">
        <v>8643</v>
      </c>
      <c r="H2642" t="s">
        <v>12884</v>
      </c>
      <c r="I2642" t="s">
        <v>12885</v>
      </c>
      <c r="J2642" t="s">
        <v>26</v>
      </c>
      <c r="K2642" t="s">
        <v>27</v>
      </c>
      <c r="L2642" t="b">
        <v>1</v>
      </c>
      <c r="M2642" t="s">
        <v>12877</v>
      </c>
      <c r="N2642" t="str">
        <f>"004.023/73"</f>
        <v>004.023/73</v>
      </c>
      <c r="O2642" t="s">
        <v>12878</v>
      </c>
      <c r="P2642" t="b">
        <v>0</v>
      </c>
      <c r="R2642" t="str">
        <f>"9781582077949"</f>
        <v>9781582077949</v>
      </c>
      <c r="S2642" t="str">
        <f>"9781582077956"</f>
        <v>9781582077956</v>
      </c>
      <c r="T2642">
        <v>457040052</v>
      </c>
    </row>
    <row r="2643" spans="1:20" x14ac:dyDescent="0.25">
      <c r="A2643">
        <v>293560</v>
      </c>
      <c r="B2643" t="s">
        <v>12886</v>
      </c>
      <c r="D2643" t="s">
        <v>12141</v>
      </c>
      <c r="E2643" t="s">
        <v>12141</v>
      </c>
      <c r="F2643">
        <v>2009</v>
      </c>
      <c r="G2643" t="s">
        <v>12887</v>
      </c>
      <c r="H2643" t="s">
        <v>12888</v>
      </c>
      <c r="I2643" t="s">
        <v>12889</v>
      </c>
      <c r="J2643" t="s">
        <v>26</v>
      </c>
      <c r="K2643" t="s">
        <v>27</v>
      </c>
      <c r="L2643" t="b">
        <v>1</v>
      </c>
      <c r="N2643" t="str">
        <f>"778.5/35"</f>
        <v>778.5/35</v>
      </c>
      <c r="P2643" t="b">
        <v>0</v>
      </c>
      <c r="R2643" t="str">
        <f>"9781585118359"</f>
        <v>9781585118359</v>
      </c>
      <c r="S2643" t="str">
        <f>"9781441624550"</f>
        <v>9781441624550</v>
      </c>
      <c r="T2643">
        <v>455386162</v>
      </c>
    </row>
    <row r="2644" spans="1:20" x14ac:dyDescent="0.25">
      <c r="A2644">
        <v>293559</v>
      </c>
      <c r="B2644" t="s">
        <v>12890</v>
      </c>
      <c r="D2644" t="s">
        <v>12141</v>
      </c>
      <c r="E2644" t="s">
        <v>12141</v>
      </c>
      <c r="F2644">
        <v>2009</v>
      </c>
      <c r="G2644" t="s">
        <v>349</v>
      </c>
      <c r="H2644" t="s">
        <v>12891</v>
      </c>
      <c r="I2644" t="s">
        <v>12892</v>
      </c>
      <c r="J2644" t="s">
        <v>26</v>
      </c>
      <c r="K2644" t="s">
        <v>27</v>
      </c>
      <c r="L2644" t="b">
        <v>1</v>
      </c>
      <c r="N2644" t="str">
        <f>"620.0023"</f>
        <v>620.0023</v>
      </c>
      <c r="P2644" t="b">
        <v>0</v>
      </c>
      <c r="R2644" t="str">
        <f>"9781585115020"</f>
        <v>9781585115020</v>
      </c>
      <c r="S2644" t="str">
        <f>"9781441624543"</f>
        <v>9781441624543</v>
      </c>
      <c r="T2644">
        <v>455385803</v>
      </c>
    </row>
    <row r="2645" spans="1:20" x14ac:dyDescent="0.25">
      <c r="A2645">
        <v>293558</v>
      </c>
      <c r="B2645" t="s">
        <v>12893</v>
      </c>
      <c r="D2645" t="s">
        <v>12141</v>
      </c>
      <c r="E2645" t="s">
        <v>12141</v>
      </c>
      <c r="F2645">
        <v>2009</v>
      </c>
      <c r="G2645" t="s">
        <v>11258</v>
      </c>
      <c r="H2645" t="s">
        <v>12894</v>
      </c>
      <c r="I2645" t="s">
        <v>12895</v>
      </c>
      <c r="J2645" t="s">
        <v>26</v>
      </c>
      <c r="K2645" t="s">
        <v>27</v>
      </c>
      <c r="L2645" t="b">
        <v>1</v>
      </c>
      <c r="N2645" t="str">
        <f>"621.389/3"</f>
        <v>621.389/3</v>
      </c>
      <c r="P2645" t="b">
        <v>0</v>
      </c>
      <c r="R2645" t="str">
        <f>"9781585116737"</f>
        <v>9781585116737</v>
      </c>
      <c r="S2645" t="str">
        <f>"9781441624529"</f>
        <v>9781441624529</v>
      </c>
      <c r="T2645">
        <v>455379948</v>
      </c>
    </row>
    <row r="2646" spans="1:20" x14ac:dyDescent="0.25">
      <c r="A2646">
        <v>293556</v>
      </c>
      <c r="B2646" t="s">
        <v>12896</v>
      </c>
      <c r="D2646" t="s">
        <v>12141</v>
      </c>
      <c r="E2646" t="s">
        <v>12141</v>
      </c>
      <c r="F2646">
        <v>2009</v>
      </c>
      <c r="G2646" t="s">
        <v>12897</v>
      </c>
      <c r="H2646" t="s">
        <v>12898</v>
      </c>
      <c r="I2646" t="s">
        <v>12899</v>
      </c>
      <c r="J2646" t="s">
        <v>26</v>
      </c>
      <c r="K2646" t="s">
        <v>27</v>
      </c>
      <c r="L2646" t="b">
        <v>1</v>
      </c>
      <c r="N2646" t="str">
        <f>"746.9/2"</f>
        <v>746.9/2</v>
      </c>
      <c r="P2646" t="b">
        <v>0</v>
      </c>
      <c r="R2646" t="str">
        <f>"9781585115990"</f>
        <v>9781585115990</v>
      </c>
      <c r="S2646" t="str">
        <f>"9781441624512"</f>
        <v>9781441624512</v>
      </c>
      <c r="T2646">
        <v>455374953</v>
      </c>
    </row>
    <row r="2647" spans="1:20" x14ac:dyDescent="0.25">
      <c r="A2647">
        <v>292419</v>
      </c>
      <c r="B2647" t="s">
        <v>12900</v>
      </c>
      <c r="C2647" t="s">
        <v>12901</v>
      </c>
      <c r="D2647" t="s">
        <v>10310</v>
      </c>
      <c r="E2647" t="s">
        <v>10310</v>
      </c>
      <c r="F2647">
        <v>2009</v>
      </c>
      <c r="G2647" t="s">
        <v>5703</v>
      </c>
      <c r="H2647" t="s">
        <v>12902</v>
      </c>
      <c r="I2647" t="s">
        <v>12903</v>
      </c>
      <c r="J2647" t="s">
        <v>26</v>
      </c>
      <c r="K2647" t="s">
        <v>27</v>
      </c>
      <c r="L2647" t="b">
        <v>1</v>
      </c>
      <c r="M2647" t="s">
        <v>12904</v>
      </c>
      <c r="N2647" t="str">
        <f>"327.1/7"</f>
        <v>327.1/7</v>
      </c>
      <c r="P2647" t="b">
        <v>0</v>
      </c>
      <c r="R2647" t="str">
        <f>"9780826516435"</f>
        <v>9780826516435</v>
      </c>
      <c r="S2647" t="str">
        <f>"9780826516459"</f>
        <v>9780826516459</v>
      </c>
      <c r="T2647">
        <v>468787278</v>
      </c>
    </row>
    <row r="2648" spans="1:20" x14ac:dyDescent="0.25">
      <c r="A2648">
        <v>292389</v>
      </c>
      <c r="B2648" t="s">
        <v>12905</v>
      </c>
      <c r="C2648" t="s">
        <v>12906</v>
      </c>
      <c r="D2648" t="s">
        <v>10310</v>
      </c>
      <c r="E2648" t="s">
        <v>10310</v>
      </c>
      <c r="F2648">
        <v>2007</v>
      </c>
      <c r="G2648" t="s">
        <v>12907</v>
      </c>
      <c r="H2648" t="s">
        <v>12908</v>
      </c>
      <c r="I2648" t="s">
        <v>12909</v>
      </c>
      <c r="J2648" t="s">
        <v>26</v>
      </c>
      <c r="K2648" t="s">
        <v>27</v>
      </c>
      <c r="L2648" t="b">
        <v>1</v>
      </c>
      <c r="M2648" t="s">
        <v>12910</v>
      </c>
      <c r="N2648" t="str">
        <f>"306.701"</f>
        <v>306.701</v>
      </c>
      <c r="P2648" t="b">
        <v>0</v>
      </c>
      <c r="R2648" t="str">
        <f>"9780826515841"</f>
        <v>9780826515841</v>
      </c>
      <c r="S2648" t="str">
        <f>"9780826592385"</f>
        <v>9780826592385</v>
      </c>
      <c r="T2648">
        <v>592756217</v>
      </c>
    </row>
    <row r="2649" spans="1:20" x14ac:dyDescent="0.25">
      <c r="A2649">
        <v>292388</v>
      </c>
      <c r="B2649" t="s">
        <v>12911</v>
      </c>
      <c r="C2649" t="s">
        <v>12912</v>
      </c>
      <c r="D2649" t="s">
        <v>10310</v>
      </c>
      <c r="E2649" t="s">
        <v>10310</v>
      </c>
      <c r="F2649">
        <v>2009</v>
      </c>
      <c r="G2649" t="s">
        <v>11409</v>
      </c>
      <c r="H2649" t="s">
        <v>12913</v>
      </c>
      <c r="I2649" t="s">
        <v>12914</v>
      </c>
      <c r="J2649" t="s">
        <v>26</v>
      </c>
      <c r="K2649" t="s">
        <v>27</v>
      </c>
      <c r="L2649" t="b">
        <v>1</v>
      </c>
      <c r="M2649" t="s">
        <v>12915</v>
      </c>
      <c r="N2649" t="str">
        <f>"508"</f>
        <v>508</v>
      </c>
      <c r="P2649" t="b">
        <v>0</v>
      </c>
      <c r="R2649" t="str">
        <f>"9780826516299"</f>
        <v>9780826516299</v>
      </c>
      <c r="S2649" t="str">
        <f>"9780826516817"</f>
        <v>9780826516817</v>
      </c>
      <c r="T2649">
        <v>593209981</v>
      </c>
    </row>
    <row r="2650" spans="1:20" x14ac:dyDescent="0.25">
      <c r="A2650">
        <v>292387</v>
      </c>
      <c r="B2650" t="s">
        <v>12916</v>
      </c>
      <c r="D2650" t="s">
        <v>10310</v>
      </c>
      <c r="E2650" t="s">
        <v>10310</v>
      </c>
      <c r="F2650">
        <v>2009</v>
      </c>
      <c r="G2650" t="s">
        <v>2428</v>
      </c>
      <c r="H2650" t="s">
        <v>12917</v>
      </c>
      <c r="I2650" t="s">
        <v>12918</v>
      </c>
      <c r="J2650" t="s">
        <v>26</v>
      </c>
      <c r="K2650" t="s">
        <v>27</v>
      </c>
      <c r="L2650" t="b">
        <v>1</v>
      </c>
      <c r="M2650" t="s">
        <v>12919</v>
      </c>
      <c r="N2650" t="str">
        <f>"323/.0420835"</f>
        <v>323/.0420835</v>
      </c>
      <c r="P2650" t="b">
        <v>0</v>
      </c>
      <c r="R2650" t="str">
        <f>"9780826516503"</f>
        <v>9780826516503</v>
      </c>
      <c r="S2650" t="str">
        <f>"9780826516527"</f>
        <v>9780826516527</v>
      </c>
      <c r="T2650">
        <v>592756216</v>
      </c>
    </row>
    <row r="2651" spans="1:20" x14ac:dyDescent="0.25">
      <c r="A2651">
        <v>292386</v>
      </c>
      <c r="B2651" t="s">
        <v>12920</v>
      </c>
      <c r="C2651" t="s">
        <v>12921</v>
      </c>
      <c r="D2651" t="s">
        <v>10310</v>
      </c>
      <c r="E2651" t="s">
        <v>10310</v>
      </c>
      <c r="F2651">
        <v>2009</v>
      </c>
      <c r="G2651" t="s">
        <v>1586</v>
      </c>
      <c r="H2651" t="s">
        <v>12922</v>
      </c>
      <c r="I2651" t="s">
        <v>12923</v>
      </c>
      <c r="J2651" t="s">
        <v>26</v>
      </c>
      <c r="K2651" t="s">
        <v>27</v>
      </c>
      <c r="L2651" t="b">
        <v>1</v>
      </c>
      <c r="M2651" t="s">
        <v>12924</v>
      </c>
      <c r="N2651" t="str">
        <f>"324.6/20973"</f>
        <v>324.6/20973</v>
      </c>
      <c r="P2651" t="b">
        <v>0</v>
      </c>
      <c r="R2651" t="str">
        <f>"9780826516534"</f>
        <v>9780826516534</v>
      </c>
      <c r="S2651" t="str">
        <f>"9780826516558"</f>
        <v>9780826516558</v>
      </c>
      <c r="T2651">
        <v>593209978</v>
      </c>
    </row>
    <row r="2652" spans="1:20" x14ac:dyDescent="0.25">
      <c r="A2652">
        <v>292385</v>
      </c>
      <c r="B2652" t="s">
        <v>12925</v>
      </c>
      <c r="C2652" t="s">
        <v>12926</v>
      </c>
      <c r="D2652" t="s">
        <v>10310</v>
      </c>
      <c r="E2652" t="s">
        <v>10310</v>
      </c>
      <c r="F2652">
        <v>2009</v>
      </c>
      <c r="G2652" t="s">
        <v>4849</v>
      </c>
      <c r="H2652" t="s">
        <v>12927</v>
      </c>
      <c r="I2652" t="s">
        <v>12928</v>
      </c>
      <c r="J2652" t="s">
        <v>26</v>
      </c>
      <c r="K2652" t="s">
        <v>27</v>
      </c>
      <c r="L2652" t="b">
        <v>1</v>
      </c>
      <c r="M2652" t="s">
        <v>12929</v>
      </c>
      <c r="N2652" t="str">
        <f>"649/.1"</f>
        <v>649/.1</v>
      </c>
      <c r="P2652" t="b">
        <v>0</v>
      </c>
      <c r="R2652" t="str">
        <f>"9780826516718"</f>
        <v>9780826516718</v>
      </c>
      <c r="S2652" t="str">
        <f>"9780826516732"</f>
        <v>9780826516732</v>
      </c>
      <c r="T2652">
        <v>592756215</v>
      </c>
    </row>
    <row r="2653" spans="1:20" x14ac:dyDescent="0.25">
      <c r="A2653">
        <v>292384</v>
      </c>
      <c r="B2653" t="s">
        <v>12930</v>
      </c>
      <c r="C2653" t="s">
        <v>12931</v>
      </c>
      <c r="D2653" t="s">
        <v>10310</v>
      </c>
      <c r="E2653" t="s">
        <v>10310</v>
      </c>
      <c r="F2653">
        <v>2009</v>
      </c>
      <c r="G2653" t="s">
        <v>12907</v>
      </c>
      <c r="H2653" t="s">
        <v>12932</v>
      </c>
      <c r="I2653" t="s">
        <v>12933</v>
      </c>
      <c r="J2653" t="s">
        <v>26</v>
      </c>
      <c r="K2653" t="s">
        <v>27</v>
      </c>
      <c r="L2653" t="b">
        <v>1</v>
      </c>
      <c r="M2653" t="s">
        <v>12934</v>
      </c>
      <c r="N2653" t="str">
        <f>"306.70981"</f>
        <v>306.70981</v>
      </c>
      <c r="P2653" t="b">
        <v>0</v>
      </c>
      <c r="R2653" t="str">
        <f>"9780826516756"</f>
        <v>9780826516756</v>
      </c>
      <c r="S2653" t="str">
        <f>"9780826516763"</f>
        <v>9780826516763</v>
      </c>
      <c r="T2653">
        <v>593209974</v>
      </c>
    </row>
    <row r="2654" spans="1:20" x14ac:dyDescent="0.25">
      <c r="A2654">
        <v>292246</v>
      </c>
      <c r="B2654" t="s">
        <v>12935</v>
      </c>
      <c r="D2654" t="s">
        <v>12936</v>
      </c>
      <c r="E2654" t="s">
        <v>12937</v>
      </c>
      <c r="F2654">
        <v>2001</v>
      </c>
      <c r="G2654" t="s">
        <v>12938</v>
      </c>
      <c r="H2654" t="s">
        <v>12939</v>
      </c>
      <c r="I2654" t="s">
        <v>12940</v>
      </c>
      <c r="J2654" t="s">
        <v>26</v>
      </c>
      <c r="K2654" t="s">
        <v>27</v>
      </c>
      <c r="L2654" t="b">
        <v>1</v>
      </c>
      <c r="M2654" t="s">
        <v>12941</v>
      </c>
      <c r="N2654" t="str">
        <f>"621.38483"</f>
        <v>621.38483</v>
      </c>
      <c r="O2654" t="s">
        <v>12942</v>
      </c>
      <c r="P2654" t="b">
        <v>0</v>
      </c>
      <c r="Q2654" t="b">
        <v>0</v>
      </c>
      <c r="R2654" t="str">
        <f>"9780852967980"</f>
        <v>9780852967980</v>
      </c>
      <c r="S2654" t="str">
        <f>"9781849191432"</f>
        <v>9781849191432</v>
      </c>
      <c r="T2654">
        <v>460740058</v>
      </c>
    </row>
    <row r="2655" spans="1:20" x14ac:dyDescent="0.25">
      <c r="A2655">
        <v>292230</v>
      </c>
      <c r="B2655" t="s">
        <v>12943</v>
      </c>
      <c r="C2655" t="s">
        <v>12944</v>
      </c>
      <c r="D2655" t="s">
        <v>12936</v>
      </c>
      <c r="E2655" t="s">
        <v>12937</v>
      </c>
      <c r="F2655">
        <v>2001</v>
      </c>
      <c r="G2655" t="s">
        <v>12938</v>
      </c>
      <c r="H2655" t="s">
        <v>12945</v>
      </c>
      <c r="I2655" t="s">
        <v>12946</v>
      </c>
      <c r="J2655" t="s">
        <v>26</v>
      </c>
      <c r="K2655" t="s">
        <v>27</v>
      </c>
      <c r="L2655" t="b">
        <v>1</v>
      </c>
      <c r="M2655" t="s">
        <v>12947</v>
      </c>
      <c r="N2655" t="str">
        <f>"004.6/2"</f>
        <v>004.6/2</v>
      </c>
      <c r="O2655" t="s">
        <v>12948</v>
      </c>
      <c r="P2655" t="b">
        <v>0</v>
      </c>
      <c r="Q2655" t="b">
        <v>0</v>
      </c>
      <c r="R2655" t="str">
        <f>"9780852969823"</f>
        <v>9780852969823</v>
      </c>
      <c r="S2655" t="str">
        <f>"9781849190565"</f>
        <v>9781849190565</v>
      </c>
      <c r="T2655">
        <v>460736329</v>
      </c>
    </row>
    <row r="2656" spans="1:20" x14ac:dyDescent="0.25">
      <c r="A2656">
        <v>292229</v>
      </c>
      <c r="B2656" t="s">
        <v>12949</v>
      </c>
      <c r="C2656" t="s">
        <v>12950</v>
      </c>
      <c r="D2656" t="s">
        <v>12936</v>
      </c>
      <c r="E2656" t="s">
        <v>12937</v>
      </c>
      <c r="F2656">
        <v>2001</v>
      </c>
      <c r="G2656" t="s">
        <v>12938</v>
      </c>
      <c r="H2656" t="s">
        <v>12951</v>
      </c>
      <c r="I2656" t="s">
        <v>12952</v>
      </c>
      <c r="J2656" t="s">
        <v>26</v>
      </c>
      <c r="K2656" t="s">
        <v>27</v>
      </c>
      <c r="L2656" t="b">
        <v>1</v>
      </c>
      <c r="M2656" t="s">
        <v>12953</v>
      </c>
      <c r="N2656" t="str">
        <f>"629.836"</f>
        <v>629.836</v>
      </c>
      <c r="O2656" t="s">
        <v>12954</v>
      </c>
      <c r="P2656" t="b">
        <v>0</v>
      </c>
      <c r="Q2656" t="b">
        <v>0</v>
      </c>
      <c r="R2656" t="str">
        <f>"9780852969847"</f>
        <v>9780852969847</v>
      </c>
      <c r="S2656" t="str">
        <f>"9781849190558"</f>
        <v>9781849190558</v>
      </c>
      <c r="T2656">
        <v>460217877</v>
      </c>
    </row>
    <row r="2657" spans="1:20" x14ac:dyDescent="0.25">
      <c r="A2657">
        <v>292221</v>
      </c>
      <c r="B2657" t="s">
        <v>12955</v>
      </c>
      <c r="D2657" t="s">
        <v>12936</v>
      </c>
      <c r="E2657" t="s">
        <v>12937</v>
      </c>
      <c r="F2657">
        <v>2001</v>
      </c>
      <c r="G2657" t="s">
        <v>12938</v>
      </c>
      <c r="H2657" t="s">
        <v>12956</v>
      </c>
      <c r="I2657" t="s">
        <v>12957</v>
      </c>
      <c r="J2657" t="s">
        <v>26</v>
      </c>
      <c r="K2657" t="s">
        <v>27</v>
      </c>
      <c r="L2657" t="b">
        <v>1</v>
      </c>
      <c r="M2657" t="s">
        <v>12958</v>
      </c>
      <c r="N2657" t="str">
        <f>"621.38132"</f>
        <v>621.38132</v>
      </c>
      <c r="O2657" t="s">
        <v>12959</v>
      </c>
      <c r="P2657" t="b">
        <v>0</v>
      </c>
      <c r="Q2657" t="b">
        <v>0</v>
      </c>
      <c r="R2657" t="str">
        <f>"9780852967867"</f>
        <v>9780852967867</v>
      </c>
      <c r="S2657" t="str">
        <f>"9781849190909"</f>
        <v>9781849190909</v>
      </c>
      <c r="T2657">
        <v>460232661</v>
      </c>
    </row>
    <row r="2658" spans="1:20" x14ac:dyDescent="0.25">
      <c r="A2658">
        <v>292201</v>
      </c>
      <c r="B2658" t="s">
        <v>12960</v>
      </c>
      <c r="D2658" t="s">
        <v>12936</v>
      </c>
      <c r="E2658" t="s">
        <v>12937</v>
      </c>
      <c r="F2658">
        <v>2001</v>
      </c>
      <c r="G2658" t="s">
        <v>12938</v>
      </c>
      <c r="H2658" t="s">
        <v>12961</v>
      </c>
      <c r="I2658" t="s">
        <v>12962</v>
      </c>
      <c r="J2658" t="s">
        <v>26</v>
      </c>
      <c r="K2658" t="s">
        <v>27</v>
      </c>
      <c r="L2658" t="b">
        <v>1</v>
      </c>
      <c r="M2658" t="s">
        <v>12963</v>
      </c>
      <c r="N2658" t="str">
        <f>"621.38309"</f>
        <v>621.38309</v>
      </c>
      <c r="O2658" t="s">
        <v>12964</v>
      </c>
      <c r="P2658" t="b">
        <v>0</v>
      </c>
      <c r="Q2658" t="b">
        <v>0</v>
      </c>
      <c r="R2658" t="str">
        <f>"9780852967928"</f>
        <v>9780852967928</v>
      </c>
      <c r="S2658" t="str">
        <f>"9781849190428"</f>
        <v>9781849190428</v>
      </c>
      <c r="T2658">
        <v>505869731</v>
      </c>
    </row>
    <row r="2659" spans="1:20" x14ac:dyDescent="0.25">
      <c r="A2659">
        <v>292197</v>
      </c>
      <c r="B2659" t="s">
        <v>12965</v>
      </c>
      <c r="C2659" t="s">
        <v>12966</v>
      </c>
      <c r="D2659" t="s">
        <v>12936</v>
      </c>
      <c r="E2659" t="s">
        <v>12937</v>
      </c>
      <c r="F2659">
        <v>2001</v>
      </c>
      <c r="G2659" t="s">
        <v>12938</v>
      </c>
      <c r="H2659" t="s">
        <v>12967</v>
      </c>
      <c r="I2659" t="s">
        <v>12968</v>
      </c>
      <c r="J2659" t="s">
        <v>26</v>
      </c>
      <c r="K2659" t="s">
        <v>27</v>
      </c>
      <c r="L2659" t="b">
        <v>1</v>
      </c>
      <c r="M2659" t="s">
        <v>12969</v>
      </c>
      <c r="N2659" t="str">
        <f>"629.8/9"</f>
        <v>629.8/9</v>
      </c>
      <c r="O2659" t="s">
        <v>12970</v>
      </c>
      <c r="P2659" t="b">
        <v>0</v>
      </c>
      <c r="Q2659" t="b">
        <v>0</v>
      </c>
      <c r="R2659" t="str">
        <f>"9780852967966"</f>
        <v>9780852967966</v>
      </c>
      <c r="S2659" t="str">
        <f>"9781849190367"</f>
        <v>9781849190367</v>
      </c>
      <c r="T2659">
        <v>505869670</v>
      </c>
    </row>
    <row r="2660" spans="1:20" x14ac:dyDescent="0.25">
      <c r="A2660">
        <v>292192</v>
      </c>
      <c r="B2660" t="s">
        <v>12971</v>
      </c>
      <c r="C2660" t="s">
        <v>12972</v>
      </c>
      <c r="D2660" t="s">
        <v>12936</v>
      </c>
      <c r="E2660" t="s">
        <v>12937</v>
      </c>
      <c r="F2660">
        <v>2001</v>
      </c>
      <c r="G2660" t="s">
        <v>12938</v>
      </c>
      <c r="H2660" t="s">
        <v>12973</v>
      </c>
      <c r="I2660" t="s">
        <v>10340</v>
      </c>
      <c r="J2660" t="s">
        <v>26</v>
      </c>
      <c r="K2660" t="s">
        <v>27</v>
      </c>
      <c r="L2660" t="b">
        <v>1</v>
      </c>
      <c r="M2660" t="s">
        <v>12974</v>
      </c>
      <c r="N2660" t="str">
        <f>"621.385"</f>
        <v>621.385</v>
      </c>
      <c r="O2660" t="s">
        <v>12975</v>
      </c>
      <c r="P2660" t="b">
        <v>0</v>
      </c>
      <c r="Q2660" t="b">
        <v>0</v>
      </c>
      <c r="R2660" t="str">
        <f>"9780852960240"</f>
        <v>9780852960240</v>
      </c>
      <c r="S2660" t="str">
        <f>"9781849190305"</f>
        <v>9781849190305</v>
      </c>
      <c r="T2660">
        <v>505869179</v>
      </c>
    </row>
    <row r="2661" spans="1:20" x14ac:dyDescent="0.25">
      <c r="A2661">
        <v>292191</v>
      </c>
      <c r="B2661" t="s">
        <v>12976</v>
      </c>
      <c r="C2661" t="s">
        <v>12977</v>
      </c>
      <c r="D2661" t="s">
        <v>12936</v>
      </c>
      <c r="E2661" t="s">
        <v>12937</v>
      </c>
      <c r="F2661">
        <v>2001</v>
      </c>
      <c r="G2661" t="s">
        <v>12938</v>
      </c>
      <c r="H2661" t="s">
        <v>12978</v>
      </c>
      <c r="I2661" t="s">
        <v>12979</v>
      </c>
      <c r="J2661" t="s">
        <v>26</v>
      </c>
      <c r="K2661" t="s">
        <v>27</v>
      </c>
      <c r="L2661" t="b">
        <v>1</v>
      </c>
      <c r="M2661" t="s">
        <v>12980</v>
      </c>
      <c r="N2661" t="str">
        <f>"621.382"</f>
        <v>621.382</v>
      </c>
      <c r="O2661" t="s">
        <v>12948</v>
      </c>
      <c r="P2661" t="b">
        <v>0</v>
      </c>
      <c r="Q2661" t="b">
        <v>0</v>
      </c>
      <c r="R2661" t="str">
        <f>"9780852969830"</f>
        <v>9780852969830</v>
      </c>
      <c r="S2661" t="str">
        <f>"9781849190299"</f>
        <v>9781849190299</v>
      </c>
      <c r="T2661">
        <v>505868593</v>
      </c>
    </row>
    <row r="2662" spans="1:20" x14ac:dyDescent="0.25">
      <c r="A2662">
        <v>292190</v>
      </c>
      <c r="B2662" t="s">
        <v>12981</v>
      </c>
      <c r="C2662" t="s">
        <v>12982</v>
      </c>
      <c r="D2662" t="s">
        <v>12936</v>
      </c>
      <c r="E2662" t="s">
        <v>12937</v>
      </c>
      <c r="F2662">
        <v>2002</v>
      </c>
      <c r="G2662" t="s">
        <v>12938</v>
      </c>
      <c r="H2662" t="s">
        <v>12983</v>
      </c>
      <c r="I2662" t="s">
        <v>12984</v>
      </c>
      <c r="J2662" t="s">
        <v>26</v>
      </c>
      <c r="K2662" t="s">
        <v>27</v>
      </c>
      <c r="L2662" t="b">
        <v>1</v>
      </c>
      <c r="M2662" t="s">
        <v>12985</v>
      </c>
      <c r="N2662" t="str">
        <f>"621.382/1"</f>
        <v>621.382/1</v>
      </c>
      <c r="O2662" t="s">
        <v>12986</v>
      </c>
      <c r="P2662" t="b">
        <v>0</v>
      </c>
      <c r="Q2662" t="b">
        <v>0</v>
      </c>
      <c r="R2662" t="str">
        <f>"9780852969779"</f>
        <v>9780852969779</v>
      </c>
      <c r="S2662" t="str">
        <f>"9781849190282"</f>
        <v>9781849190282</v>
      </c>
      <c r="T2662">
        <v>505869151</v>
      </c>
    </row>
    <row r="2663" spans="1:20" x14ac:dyDescent="0.25">
      <c r="A2663">
        <v>292187</v>
      </c>
      <c r="B2663" t="s">
        <v>12987</v>
      </c>
      <c r="D2663" t="s">
        <v>12936</v>
      </c>
      <c r="E2663" t="s">
        <v>12937</v>
      </c>
      <c r="F2663">
        <v>2002</v>
      </c>
      <c r="G2663" t="s">
        <v>12938</v>
      </c>
      <c r="H2663" t="s">
        <v>12988</v>
      </c>
      <c r="I2663" t="s">
        <v>12989</v>
      </c>
      <c r="J2663" t="s">
        <v>26</v>
      </c>
      <c r="K2663" t="s">
        <v>27</v>
      </c>
      <c r="L2663" t="b">
        <v>1</v>
      </c>
      <c r="M2663" t="s">
        <v>12990</v>
      </c>
      <c r="N2663" t="str">
        <f>"620.17"</f>
        <v>620.17</v>
      </c>
      <c r="O2663" t="s">
        <v>12991</v>
      </c>
      <c r="P2663" t="b">
        <v>0</v>
      </c>
      <c r="Q2663" t="b">
        <v>0</v>
      </c>
      <c r="R2663" t="str">
        <f>"9780852969809"</f>
        <v>9780852969809</v>
      </c>
      <c r="S2663" t="str">
        <f>"9781849190251"</f>
        <v>9781849190251</v>
      </c>
      <c r="T2663">
        <v>505869119</v>
      </c>
    </row>
    <row r="2664" spans="1:20" x14ac:dyDescent="0.25">
      <c r="A2664">
        <v>292185</v>
      </c>
      <c r="B2664" t="s">
        <v>12992</v>
      </c>
      <c r="C2664" t="s">
        <v>12993</v>
      </c>
      <c r="D2664" t="s">
        <v>12936</v>
      </c>
      <c r="E2664" t="s">
        <v>12937</v>
      </c>
      <c r="F2664">
        <v>2002</v>
      </c>
      <c r="G2664" t="s">
        <v>12938</v>
      </c>
      <c r="H2664" t="s">
        <v>12994</v>
      </c>
      <c r="I2664" t="s">
        <v>12995</v>
      </c>
      <c r="J2664" t="s">
        <v>26</v>
      </c>
      <c r="K2664" t="s">
        <v>27</v>
      </c>
      <c r="L2664" t="b">
        <v>1</v>
      </c>
      <c r="M2664" t="s">
        <v>12996</v>
      </c>
      <c r="N2664" t="str">
        <f>"384.5092"</f>
        <v>384.5092</v>
      </c>
      <c r="O2664" t="s">
        <v>12964</v>
      </c>
      <c r="P2664" t="b">
        <v>0</v>
      </c>
      <c r="Q2664" t="b">
        <v>0</v>
      </c>
      <c r="R2664" t="str">
        <f>"9780852962039"</f>
        <v>9780852962039</v>
      </c>
      <c r="S2664" t="str">
        <f>"9781849190237"</f>
        <v>9781849190237</v>
      </c>
      <c r="T2664">
        <v>505869107</v>
      </c>
    </row>
    <row r="2665" spans="1:20" x14ac:dyDescent="0.25">
      <c r="A2665">
        <v>292184</v>
      </c>
      <c r="B2665" t="s">
        <v>12997</v>
      </c>
      <c r="C2665" t="s">
        <v>12998</v>
      </c>
      <c r="D2665" t="s">
        <v>12936</v>
      </c>
      <c r="E2665" t="s">
        <v>12937</v>
      </c>
      <c r="F2665">
        <v>2000</v>
      </c>
      <c r="G2665" t="s">
        <v>12938</v>
      </c>
      <c r="H2665" t="s">
        <v>12999</v>
      </c>
      <c r="I2665" t="s">
        <v>13000</v>
      </c>
      <c r="J2665" t="s">
        <v>26</v>
      </c>
      <c r="K2665" t="s">
        <v>27</v>
      </c>
      <c r="L2665" t="b">
        <v>1</v>
      </c>
      <c r="M2665" t="s">
        <v>13001</v>
      </c>
      <c r="N2665" t="str">
        <f>"621.3880092"</f>
        <v>621.3880092</v>
      </c>
      <c r="O2665" t="s">
        <v>13002</v>
      </c>
      <c r="P2665" t="b">
        <v>0</v>
      </c>
      <c r="Q2665" t="b">
        <v>0</v>
      </c>
      <c r="R2665" t="str">
        <f>"9780852967973"</f>
        <v>9780852967973</v>
      </c>
      <c r="S2665" t="str">
        <f>"9781849190220"</f>
        <v>9781849190220</v>
      </c>
      <c r="T2665">
        <v>505868492</v>
      </c>
    </row>
    <row r="2666" spans="1:20" x14ac:dyDescent="0.25">
      <c r="A2666">
        <v>292183</v>
      </c>
      <c r="B2666" t="s">
        <v>13003</v>
      </c>
      <c r="D2666" t="s">
        <v>12936</v>
      </c>
      <c r="E2666" t="s">
        <v>12937</v>
      </c>
      <c r="F2666">
        <v>2000</v>
      </c>
      <c r="G2666" t="s">
        <v>12938</v>
      </c>
      <c r="H2666" t="s">
        <v>13004</v>
      </c>
      <c r="I2666" t="s">
        <v>13005</v>
      </c>
      <c r="J2666" t="s">
        <v>26</v>
      </c>
      <c r="K2666" t="s">
        <v>27</v>
      </c>
      <c r="L2666" t="b">
        <v>1</v>
      </c>
      <c r="M2666" t="s">
        <v>13006</v>
      </c>
      <c r="N2666" t="str">
        <f>"621.381331"</f>
        <v>621.381331</v>
      </c>
      <c r="O2666" t="s">
        <v>13007</v>
      </c>
      <c r="P2666" t="b">
        <v>0</v>
      </c>
      <c r="Q2666" t="b">
        <v>0</v>
      </c>
      <c r="R2666" t="str">
        <f>"9780852967942"</f>
        <v>9780852967942</v>
      </c>
      <c r="S2666" t="str">
        <f>"9781849190213"</f>
        <v>9781849190213</v>
      </c>
      <c r="T2666">
        <v>505868469</v>
      </c>
    </row>
    <row r="2667" spans="1:20" x14ac:dyDescent="0.25">
      <c r="A2667">
        <v>292178</v>
      </c>
      <c r="B2667" t="s">
        <v>13008</v>
      </c>
      <c r="D2667" t="s">
        <v>12936</v>
      </c>
      <c r="E2667" t="s">
        <v>12937</v>
      </c>
      <c r="F2667">
        <v>2002</v>
      </c>
      <c r="G2667" t="s">
        <v>12938</v>
      </c>
      <c r="H2667" t="s">
        <v>13009</v>
      </c>
      <c r="I2667" t="s">
        <v>13010</v>
      </c>
      <c r="J2667" t="s">
        <v>26</v>
      </c>
      <c r="K2667" t="s">
        <v>27</v>
      </c>
      <c r="L2667" t="b">
        <v>1</v>
      </c>
      <c r="M2667" t="s">
        <v>13011</v>
      </c>
      <c r="N2667" t="str">
        <f>"621.3815324"</f>
        <v>621.3815324</v>
      </c>
      <c r="O2667" t="s">
        <v>13012</v>
      </c>
      <c r="P2667" t="b">
        <v>0</v>
      </c>
      <c r="Q2667" t="b">
        <v>0</v>
      </c>
      <c r="R2667" t="str">
        <f>"9780852969762"</f>
        <v>9780852969762</v>
      </c>
      <c r="S2667" t="str">
        <f>"9781849190169"</f>
        <v>9781849190169</v>
      </c>
      <c r="T2667">
        <v>505868884</v>
      </c>
    </row>
    <row r="2668" spans="1:20" x14ac:dyDescent="0.25">
      <c r="A2668">
        <v>292177</v>
      </c>
      <c r="B2668" t="s">
        <v>13013</v>
      </c>
      <c r="D2668" t="s">
        <v>12936</v>
      </c>
      <c r="E2668" t="s">
        <v>12937</v>
      </c>
      <c r="F2668">
        <v>2000</v>
      </c>
      <c r="G2668" t="s">
        <v>12938</v>
      </c>
      <c r="H2668" t="s">
        <v>13014</v>
      </c>
      <c r="I2668" t="s">
        <v>13015</v>
      </c>
      <c r="J2668" t="s">
        <v>26</v>
      </c>
      <c r="K2668" t="s">
        <v>27</v>
      </c>
      <c r="L2668" t="b">
        <v>1</v>
      </c>
      <c r="M2668" t="s">
        <v>13016</v>
      </c>
      <c r="N2668" t="str">
        <f>"681.2"</f>
        <v>681.2</v>
      </c>
      <c r="O2668" t="s">
        <v>13012</v>
      </c>
      <c r="P2668" t="b">
        <v>0</v>
      </c>
      <c r="Q2668" t="b">
        <v>0</v>
      </c>
      <c r="R2668" t="str">
        <f>"9780852967799"</f>
        <v>9780852967799</v>
      </c>
      <c r="S2668" t="str">
        <f>"9781849190152"</f>
        <v>9781849190152</v>
      </c>
      <c r="T2668">
        <v>505868876</v>
      </c>
    </row>
    <row r="2669" spans="1:20" x14ac:dyDescent="0.25">
      <c r="A2669">
        <v>292170</v>
      </c>
      <c r="B2669" t="s">
        <v>13017</v>
      </c>
      <c r="D2669" t="s">
        <v>12936</v>
      </c>
      <c r="E2669" t="s">
        <v>12937</v>
      </c>
      <c r="F2669">
        <v>1999</v>
      </c>
      <c r="G2669" t="s">
        <v>12938</v>
      </c>
      <c r="H2669" t="s">
        <v>13018</v>
      </c>
      <c r="I2669" t="s">
        <v>13019</v>
      </c>
      <c r="J2669" t="s">
        <v>26</v>
      </c>
      <c r="K2669" t="s">
        <v>27</v>
      </c>
      <c r="L2669" t="b">
        <v>1</v>
      </c>
      <c r="M2669" t="s">
        <v>13020</v>
      </c>
      <c r="N2669" t="str">
        <f>"621.382/54"</f>
        <v>621.382/54</v>
      </c>
      <c r="O2669" t="s">
        <v>12986</v>
      </c>
      <c r="P2669" t="b">
        <v>0</v>
      </c>
      <c r="Q2669" t="b">
        <v>0</v>
      </c>
      <c r="R2669" t="str">
        <f>"9780852968994"</f>
        <v>9780852968994</v>
      </c>
      <c r="S2669" t="str">
        <f>"9780863419966"</f>
        <v>9780863419966</v>
      </c>
      <c r="T2669">
        <v>505834322</v>
      </c>
    </row>
    <row r="2670" spans="1:20" x14ac:dyDescent="0.25">
      <c r="A2670">
        <v>292156</v>
      </c>
      <c r="B2670" t="s">
        <v>13021</v>
      </c>
      <c r="D2670" t="s">
        <v>12936</v>
      </c>
      <c r="E2670" t="s">
        <v>12937</v>
      </c>
      <c r="F2670">
        <v>2001</v>
      </c>
      <c r="G2670" t="s">
        <v>12938</v>
      </c>
      <c r="H2670" t="s">
        <v>13022</v>
      </c>
      <c r="I2670" t="s">
        <v>13023</v>
      </c>
      <c r="J2670" t="s">
        <v>26</v>
      </c>
      <c r="K2670" t="s">
        <v>27</v>
      </c>
      <c r="L2670" t="b">
        <v>1</v>
      </c>
      <c r="M2670" t="s">
        <v>13024</v>
      </c>
      <c r="N2670" t="str">
        <f>"621.31"</f>
        <v>621.31</v>
      </c>
      <c r="O2670" t="s">
        <v>12991</v>
      </c>
      <c r="P2670" t="b">
        <v>0</v>
      </c>
      <c r="Q2670" t="b">
        <v>0</v>
      </c>
      <c r="R2670" t="str">
        <f>"9780852969755"</f>
        <v>9780852969755</v>
      </c>
      <c r="S2670" t="str">
        <f>"9780863419829"</f>
        <v>9780863419829</v>
      </c>
      <c r="T2670">
        <v>403842712</v>
      </c>
    </row>
    <row r="2671" spans="1:20" x14ac:dyDescent="0.25">
      <c r="A2671">
        <v>292155</v>
      </c>
      <c r="B2671" t="s">
        <v>13025</v>
      </c>
      <c r="D2671" t="s">
        <v>12936</v>
      </c>
      <c r="E2671" t="s">
        <v>12937</v>
      </c>
      <c r="F2671">
        <v>2000</v>
      </c>
      <c r="G2671" t="s">
        <v>12938</v>
      </c>
      <c r="H2671" t="s">
        <v>13026</v>
      </c>
      <c r="I2671" t="s">
        <v>13027</v>
      </c>
      <c r="J2671" t="s">
        <v>26</v>
      </c>
      <c r="K2671" t="s">
        <v>27</v>
      </c>
      <c r="L2671" t="b">
        <v>1</v>
      </c>
      <c r="M2671" t="s">
        <v>13028</v>
      </c>
      <c r="N2671" t="str">
        <f>"621.317"</f>
        <v>621.317</v>
      </c>
      <c r="O2671" t="s">
        <v>12991</v>
      </c>
      <c r="P2671" t="b">
        <v>0</v>
      </c>
      <c r="Q2671" t="b">
        <v>0</v>
      </c>
      <c r="R2671" t="str">
        <f>"9780852967812"</f>
        <v>9780852967812</v>
      </c>
      <c r="S2671" t="str">
        <f>"9780863419812"</f>
        <v>9780863419812</v>
      </c>
      <c r="T2671">
        <v>505834207</v>
      </c>
    </row>
    <row r="2672" spans="1:20" x14ac:dyDescent="0.25">
      <c r="A2672">
        <v>292154</v>
      </c>
      <c r="B2672" t="s">
        <v>13029</v>
      </c>
      <c r="D2672" t="s">
        <v>12936</v>
      </c>
      <c r="E2672" t="s">
        <v>12937</v>
      </c>
      <c r="F2672">
        <v>2000</v>
      </c>
      <c r="G2672" t="s">
        <v>12938</v>
      </c>
      <c r="H2672" t="s">
        <v>13030</v>
      </c>
      <c r="I2672" t="s">
        <v>11634</v>
      </c>
      <c r="J2672" t="s">
        <v>26</v>
      </c>
      <c r="K2672" t="s">
        <v>27</v>
      </c>
      <c r="L2672" t="b">
        <v>1</v>
      </c>
      <c r="M2672" t="s">
        <v>13031</v>
      </c>
      <c r="N2672" t="str">
        <f>"621.3121"</f>
        <v>621.3121</v>
      </c>
      <c r="O2672" t="s">
        <v>12991</v>
      </c>
      <c r="P2672" t="b">
        <v>0</v>
      </c>
      <c r="Q2672" t="b">
        <v>0</v>
      </c>
      <c r="R2672" t="str">
        <f>"9780852967744"</f>
        <v>9780852967744</v>
      </c>
      <c r="S2672" t="str">
        <f>"9780863419805"</f>
        <v>9780863419805</v>
      </c>
      <c r="T2672">
        <v>505834200</v>
      </c>
    </row>
    <row r="2673" spans="1:20" x14ac:dyDescent="0.25">
      <c r="A2673">
        <v>292144</v>
      </c>
      <c r="B2673" t="s">
        <v>13032</v>
      </c>
      <c r="D2673" t="s">
        <v>12936</v>
      </c>
      <c r="E2673" t="s">
        <v>12937</v>
      </c>
      <c r="F2673">
        <v>2001</v>
      </c>
      <c r="G2673" t="s">
        <v>12938</v>
      </c>
      <c r="H2673" t="s">
        <v>13033</v>
      </c>
      <c r="I2673" t="s">
        <v>13034</v>
      </c>
      <c r="J2673" t="s">
        <v>26</v>
      </c>
      <c r="K2673" t="s">
        <v>27</v>
      </c>
      <c r="L2673" t="b">
        <v>1</v>
      </c>
      <c r="M2673" t="s">
        <v>13035</v>
      </c>
      <c r="N2673" t="str">
        <f>"621.381331"</f>
        <v>621.381331</v>
      </c>
      <c r="O2673" t="s">
        <v>13007</v>
      </c>
      <c r="P2673" t="b">
        <v>0</v>
      </c>
      <c r="Q2673" t="b">
        <v>0</v>
      </c>
      <c r="R2673" t="str">
        <f>"9780852967775"</f>
        <v>9780852967775</v>
      </c>
      <c r="S2673" t="str">
        <f>"9780863412530"</f>
        <v>9780863412530</v>
      </c>
      <c r="T2673">
        <v>505848355</v>
      </c>
    </row>
    <row r="2674" spans="1:20" x14ac:dyDescent="0.25">
      <c r="A2674">
        <v>292137</v>
      </c>
      <c r="B2674" t="s">
        <v>13036</v>
      </c>
      <c r="C2674" t="s">
        <v>13037</v>
      </c>
      <c r="D2674" t="s">
        <v>12936</v>
      </c>
      <c r="E2674" t="s">
        <v>12937</v>
      </c>
      <c r="F2674">
        <v>2002</v>
      </c>
      <c r="G2674" t="s">
        <v>12938</v>
      </c>
      <c r="H2674" t="s">
        <v>13038</v>
      </c>
      <c r="I2674" t="s">
        <v>13039</v>
      </c>
      <c r="J2674" t="s">
        <v>26</v>
      </c>
      <c r="K2674" t="s">
        <v>27</v>
      </c>
      <c r="L2674" t="b">
        <v>1</v>
      </c>
      <c r="M2674" t="s">
        <v>13040</v>
      </c>
      <c r="N2674" t="str">
        <f>"621.46"</f>
        <v>621.46</v>
      </c>
      <c r="O2674" t="s">
        <v>13041</v>
      </c>
      <c r="P2674" t="b">
        <v>0</v>
      </c>
      <c r="Q2674" t="b">
        <v>0</v>
      </c>
      <c r="R2674" t="str">
        <f>"9780852964170"</f>
        <v>9780852964170</v>
      </c>
      <c r="S2674" t="str">
        <f>"9780863411380"</f>
        <v>9780863411380</v>
      </c>
      <c r="T2674">
        <v>505816733</v>
      </c>
    </row>
    <row r="2675" spans="1:20" x14ac:dyDescent="0.25">
      <c r="A2675">
        <v>292136</v>
      </c>
      <c r="B2675" t="s">
        <v>13042</v>
      </c>
      <c r="C2675" t="s">
        <v>13043</v>
      </c>
      <c r="D2675" t="s">
        <v>12936</v>
      </c>
      <c r="E2675" t="s">
        <v>12937</v>
      </c>
      <c r="F2675">
        <v>2001</v>
      </c>
      <c r="G2675" t="s">
        <v>12938</v>
      </c>
      <c r="H2675" t="s">
        <v>13044</v>
      </c>
      <c r="I2675" t="s">
        <v>13045</v>
      </c>
      <c r="J2675" t="s">
        <v>26</v>
      </c>
      <c r="K2675" t="s">
        <v>27</v>
      </c>
      <c r="L2675" t="b">
        <v>1</v>
      </c>
      <c r="M2675" t="s">
        <v>13046</v>
      </c>
      <c r="N2675" t="str">
        <f>"620.8/6"</f>
        <v>620.8/6</v>
      </c>
      <c r="O2675" t="s">
        <v>12970</v>
      </c>
      <c r="P2675" t="b">
        <v>0</v>
      </c>
      <c r="Q2675" t="b">
        <v>0</v>
      </c>
      <c r="R2675" t="str">
        <f>"9780852969786"</f>
        <v>9780852969786</v>
      </c>
      <c r="S2675" t="str">
        <f>"9780863410253"</f>
        <v>9780863410253</v>
      </c>
      <c r="T2675">
        <v>505816737</v>
      </c>
    </row>
    <row r="2676" spans="1:20" x14ac:dyDescent="0.25">
      <c r="A2676">
        <v>292135</v>
      </c>
      <c r="B2676" t="s">
        <v>13047</v>
      </c>
      <c r="D2676" t="s">
        <v>12936</v>
      </c>
      <c r="E2676" t="s">
        <v>12937</v>
      </c>
      <c r="F2676">
        <v>2002</v>
      </c>
      <c r="G2676" t="s">
        <v>12938</v>
      </c>
      <c r="H2676" t="s">
        <v>13048</v>
      </c>
      <c r="I2676" t="s">
        <v>13049</v>
      </c>
      <c r="J2676" t="s">
        <v>26</v>
      </c>
      <c r="K2676" t="s">
        <v>27</v>
      </c>
      <c r="L2676" t="b">
        <v>1</v>
      </c>
      <c r="M2676" t="s">
        <v>13050</v>
      </c>
      <c r="N2676" t="str">
        <f>"005.8"</f>
        <v>005.8</v>
      </c>
      <c r="O2676" t="s">
        <v>13051</v>
      </c>
      <c r="P2676" t="b">
        <v>0</v>
      </c>
      <c r="Q2676" t="b">
        <v>0</v>
      </c>
      <c r="R2676" t="str">
        <f>"9780852961971"</f>
        <v>9780852961971</v>
      </c>
      <c r="S2676" t="str">
        <f>"9780863410147"</f>
        <v>9780863410147</v>
      </c>
      <c r="T2676">
        <v>505832599</v>
      </c>
    </row>
    <row r="2677" spans="1:20" x14ac:dyDescent="0.25">
      <c r="A2677">
        <v>291597</v>
      </c>
      <c r="B2677" t="s">
        <v>13052</v>
      </c>
      <c r="C2677" t="s">
        <v>13053</v>
      </c>
      <c r="D2677" t="s">
        <v>13054</v>
      </c>
      <c r="E2677" t="s">
        <v>13055</v>
      </c>
      <c r="F2677">
        <v>2007</v>
      </c>
      <c r="G2677" t="s">
        <v>1054</v>
      </c>
      <c r="H2677" t="s">
        <v>13056</v>
      </c>
      <c r="I2677" t="s">
        <v>13057</v>
      </c>
      <c r="J2677" t="s">
        <v>26</v>
      </c>
      <c r="K2677" t="s">
        <v>27</v>
      </c>
      <c r="L2677" t="b">
        <v>1</v>
      </c>
      <c r="M2677" t="s">
        <v>13058</v>
      </c>
      <c r="N2677" t="str">
        <f>"616.1/22"</f>
        <v>616.1/22</v>
      </c>
      <c r="P2677" t="b">
        <v>0</v>
      </c>
      <c r="R2677" t="str">
        <f>"9781904392590"</f>
        <v>9781904392590</v>
      </c>
      <c r="S2677" t="str">
        <f>"9781846925696"</f>
        <v>9781846925696</v>
      </c>
      <c r="T2677">
        <v>458603150</v>
      </c>
    </row>
    <row r="2678" spans="1:20" x14ac:dyDescent="0.25">
      <c r="A2678">
        <v>288431</v>
      </c>
      <c r="B2678" t="s">
        <v>13059</v>
      </c>
      <c r="D2678" t="s">
        <v>13060</v>
      </c>
      <c r="E2678" t="s">
        <v>13060</v>
      </c>
      <c r="F2678">
        <v>2009</v>
      </c>
      <c r="G2678" t="s">
        <v>9468</v>
      </c>
      <c r="H2678" t="s">
        <v>13061</v>
      </c>
      <c r="I2678" t="s">
        <v>13062</v>
      </c>
      <c r="J2678" t="s">
        <v>26</v>
      </c>
      <c r="K2678" t="s">
        <v>27</v>
      </c>
      <c r="L2678" t="b">
        <v>1</v>
      </c>
      <c r="M2678" t="s">
        <v>13063</v>
      </c>
      <c r="N2678" t="str">
        <f>"005.8"</f>
        <v>005.8</v>
      </c>
      <c r="O2678" t="s">
        <v>13064</v>
      </c>
      <c r="P2678" t="b">
        <v>0</v>
      </c>
      <c r="R2678" t="str">
        <f>"9781600051326"</f>
        <v>9781600051326</v>
      </c>
      <c r="S2678" t="str">
        <f>"9781600051333"</f>
        <v>9781600051333</v>
      </c>
      <c r="T2678">
        <v>466379847</v>
      </c>
    </row>
    <row r="2679" spans="1:20" x14ac:dyDescent="0.25">
      <c r="A2679">
        <v>288429</v>
      </c>
      <c r="B2679" t="s">
        <v>13065</v>
      </c>
      <c r="C2679" t="s">
        <v>13066</v>
      </c>
      <c r="D2679" t="s">
        <v>13060</v>
      </c>
      <c r="E2679" t="s">
        <v>13060</v>
      </c>
      <c r="F2679">
        <v>2009</v>
      </c>
      <c r="G2679" t="s">
        <v>13067</v>
      </c>
      <c r="H2679" t="s">
        <v>13068</v>
      </c>
      <c r="I2679" t="s">
        <v>13069</v>
      </c>
      <c r="J2679" t="s">
        <v>26</v>
      </c>
      <c r="K2679" t="s">
        <v>27</v>
      </c>
      <c r="L2679" t="b">
        <v>1</v>
      </c>
      <c r="M2679" t="s">
        <v>13070</v>
      </c>
      <c r="N2679" t="str">
        <f>"670.42/7"</f>
        <v>670.42/7</v>
      </c>
      <c r="P2679" t="b">
        <v>0</v>
      </c>
      <c r="R2679" t="str">
        <f>"9781600051463"</f>
        <v>9781600051463</v>
      </c>
      <c r="S2679" t="str">
        <f>"9781600051470"</f>
        <v>9781600051470</v>
      </c>
      <c r="T2679">
        <v>460739901</v>
      </c>
    </row>
    <row r="2680" spans="1:20" x14ac:dyDescent="0.25">
      <c r="A2680">
        <v>287571</v>
      </c>
      <c r="B2680" t="s">
        <v>13071</v>
      </c>
      <c r="D2680" t="s">
        <v>5828</v>
      </c>
      <c r="E2680" t="s">
        <v>13072</v>
      </c>
      <c r="F2680">
        <v>2000</v>
      </c>
      <c r="G2680" t="s">
        <v>5884</v>
      </c>
      <c r="H2680" t="s">
        <v>13073</v>
      </c>
      <c r="I2680" t="s">
        <v>13074</v>
      </c>
      <c r="J2680" t="s">
        <v>26</v>
      </c>
      <c r="K2680" t="s">
        <v>27</v>
      </c>
      <c r="L2680" t="b">
        <v>1</v>
      </c>
      <c r="M2680" t="s">
        <v>13075</v>
      </c>
      <c r="N2680" t="str">
        <f>"614.5/7"</f>
        <v>614.5/7</v>
      </c>
      <c r="P2680" t="b">
        <v>0</v>
      </c>
      <c r="R2680" t="str">
        <f>"9780195134223"</f>
        <v>9780195134223</v>
      </c>
      <c r="S2680" t="str">
        <f>"9780198027751"</f>
        <v>9780198027751</v>
      </c>
      <c r="T2680">
        <v>435912180</v>
      </c>
    </row>
    <row r="2681" spans="1:20" x14ac:dyDescent="0.25">
      <c r="A2681">
        <v>286260</v>
      </c>
      <c r="B2681" t="s">
        <v>13076</v>
      </c>
      <c r="C2681" t="s">
        <v>13077</v>
      </c>
      <c r="D2681" t="s">
        <v>13054</v>
      </c>
      <c r="E2681" t="s">
        <v>13055</v>
      </c>
      <c r="F2681">
        <v>2008</v>
      </c>
      <c r="G2681" t="s">
        <v>45</v>
      </c>
      <c r="H2681" t="s">
        <v>13078</v>
      </c>
      <c r="I2681" t="s">
        <v>13079</v>
      </c>
      <c r="J2681" t="s">
        <v>26</v>
      </c>
      <c r="K2681" t="s">
        <v>27</v>
      </c>
      <c r="L2681" t="b">
        <v>1</v>
      </c>
      <c r="M2681" t="s">
        <v>13080</v>
      </c>
      <c r="N2681" t="str">
        <f>"616.8047572"</f>
        <v>616.8047572</v>
      </c>
      <c r="P2681" t="b">
        <v>0</v>
      </c>
      <c r="R2681" t="str">
        <f>"9781904392682"</f>
        <v>9781904392682</v>
      </c>
      <c r="S2681" t="str">
        <f>"9781846925962"</f>
        <v>9781846925962</v>
      </c>
      <c r="T2681">
        <v>436158397</v>
      </c>
    </row>
    <row r="2682" spans="1:20" x14ac:dyDescent="0.25">
      <c r="A2682">
        <v>285120</v>
      </c>
      <c r="B2682" t="s">
        <v>13081</v>
      </c>
      <c r="D2682" t="s">
        <v>13082</v>
      </c>
      <c r="E2682" t="s">
        <v>13083</v>
      </c>
      <c r="F2682">
        <v>2009</v>
      </c>
      <c r="G2682" t="s">
        <v>13084</v>
      </c>
      <c r="H2682" t="s">
        <v>13085</v>
      </c>
      <c r="I2682" t="s">
        <v>13086</v>
      </c>
      <c r="J2682" t="s">
        <v>26</v>
      </c>
      <c r="K2682" t="s">
        <v>27</v>
      </c>
      <c r="L2682" t="b">
        <v>1</v>
      </c>
      <c r="M2682" t="s">
        <v>13087</v>
      </c>
      <c r="N2682" t="str">
        <f>"370.15/23"</f>
        <v>370.15/23</v>
      </c>
      <c r="P2682" t="b">
        <v>0</v>
      </c>
      <c r="R2682" t="str">
        <f>"9781416607892"</f>
        <v>9781416607892</v>
      </c>
      <c r="S2682" t="str">
        <f>"9781416609056"</f>
        <v>9781416609056</v>
      </c>
      <c r="T2682">
        <v>434517731</v>
      </c>
    </row>
    <row r="2683" spans="1:20" x14ac:dyDescent="0.25">
      <c r="A2683">
        <v>285001</v>
      </c>
      <c r="B2683" t="s">
        <v>13088</v>
      </c>
      <c r="D2683" t="s">
        <v>12187</v>
      </c>
      <c r="E2683" t="s">
        <v>12187</v>
      </c>
      <c r="F2683">
        <v>2008</v>
      </c>
      <c r="G2683" t="s">
        <v>10863</v>
      </c>
      <c r="H2683" t="s">
        <v>13089</v>
      </c>
      <c r="I2683" t="s">
        <v>13090</v>
      </c>
      <c r="J2683" t="s">
        <v>26</v>
      </c>
      <c r="K2683" t="s">
        <v>27</v>
      </c>
      <c r="L2683" t="b">
        <v>1</v>
      </c>
      <c r="M2683" t="s">
        <v>13091</v>
      </c>
      <c r="N2683" t="str">
        <f>"615/.19"</f>
        <v>615/.19</v>
      </c>
      <c r="P2683" t="b">
        <v>0</v>
      </c>
      <c r="R2683" t="str">
        <f>"9788122422009"</f>
        <v>9788122422009</v>
      </c>
      <c r="S2683" t="str">
        <f>"9788122428674"</f>
        <v>9788122428674</v>
      </c>
      <c r="T2683">
        <v>434905134</v>
      </c>
    </row>
    <row r="2684" spans="1:20" x14ac:dyDescent="0.25">
      <c r="A2684">
        <v>284923</v>
      </c>
      <c r="B2684" t="s">
        <v>13092</v>
      </c>
      <c r="D2684" t="s">
        <v>2269</v>
      </c>
      <c r="E2684" t="s">
        <v>2269</v>
      </c>
      <c r="F2684">
        <v>2009</v>
      </c>
      <c r="G2684" t="s">
        <v>13093</v>
      </c>
      <c r="H2684" t="s">
        <v>13094</v>
      </c>
      <c r="I2684" t="s">
        <v>13095</v>
      </c>
      <c r="J2684" t="s">
        <v>26</v>
      </c>
      <c r="K2684" t="s">
        <v>27</v>
      </c>
      <c r="L2684" t="b">
        <v>1</v>
      </c>
      <c r="M2684" t="s">
        <v>13096</v>
      </c>
      <c r="N2684" t="str">
        <f>"362.11068"</f>
        <v>362.11068</v>
      </c>
      <c r="P2684" t="b">
        <v>0</v>
      </c>
      <c r="R2684" t="str">
        <f>"9781606923078"</f>
        <v>9781606923078</v>
      </c>
      <c r="S2684" t="str">
        <f>"9781608764167"</f>
        <v>9781608764167</v>
      </c>
      <c r="T2684">
        <v>435417852</v>
      </c>
    </row>
    <row r="2685" spans="1:20" x14ac:dyDescent="0.25">
      <c r="A2685">
        <v>284920</v>
      </c>
      <c r="B2685" t="s">
        <v>13097</v>
      </c>
      <c r="D2685" t="s">
        <v>2269</v>
      </c>
      <c r="E2685" t="s">
        <v>2269</v>
      </c>
      <c r="F2685">
        <v>2009</v>
      </c>
      <c r="G2685" t="s">
        <v>45</v>
      </c>
      <c r="H2685" t="s">
        <v>13098</v>
      </c>
      <c r="I2685" t="s">
        <v>13099</v>
      </c>
      <c r="J2685" t="s">
        <v>26</v>
      </c>
      <c r="K2685" t="s">
        <v>27</v>
      </c>
      <c r="L2685" t="b">
        <v>1</v>
      </c>
      <c r="M2685" t="s">
        <v>13100</v>
      </c>
      <c r="N2685" t="str">
        <f>"616.8/1"</f>
        <v>616.8/1</v>
      </c>
      <c r="P2685" t="b">
        <v>0</v>
      </c>
      <c r="R2685" t="str">
        <f>"9781606922477"</f>
        <v>9781606922477</v>
      </c>
      <c r="S2685" t="str">
        <f>"9781608764228"</f>
        <v>9781608764228</v>
      </c>
      <c r="T2685">
        <v>435410176</v>
      </c>
    </row>
    <row r="2686" spans="1:20" x14ac:dyDescent="0.25">
      <c r="A2686">
        <v>284917</v>
      </c>
      <c r="B2686" t="s">
        <v>13101</v>
      </c>
      <c r="D2686" t="s">
        <v>2269</v>
      </c>
      <c r="E2686" t="s">
        <v>2269</v>
      </c>
      <c r="F2686">
        <v>2009</v>
      </c>
      <c r="G2686" t="s">
        <v>540</v>
      </c>
      <c r="H2686" t="s">
        <v>13102</v>
      </c>
      <c r="I2686" t="s">
        <v>13103</v>
      </c>
      <c r="J2686" t="s">
        <v>26</v>
      </c>
      <c r="K2686" t="s">
        <v>27</v>
      </c>
      <c r="L2686" t="b">
        <v>1</v>
      </c>
      <c r="M2686" t="s">
        <v>13104</v>
      </c>
      <c r="N2686" t="str">
        <f>"628.5/5"</f>
        <v>628.5/5</v>
      </c>
      <c r="P2686" t="b">
        <v>0</v>
      </c>
      <c r="R2686" t="str">
        <f>"9781606921050"</f>
        <v>9781606921050</v>
      </c>
      <c r="S2686" t="str">
        <f>"9781608764112"</f>
        <v>9781608764112</v>
      </c>
      <c r="T2686">
        <v>435410018</v>
      </c>
    </row>
    <row r="2687" spans="1:20" x14ac:dyDescent="0.25">
      <c r="A2687">
        <v>284916</v>
      </c>
      <c r="B2687" t="s">
        <v>13105</v>
      </c>
      <c r="D2687" t="s">
        <v>2269</v>
      </c>
      <c r="E2687" t="s">
        <v>2269</v>
      </c>
      <c r="F2687">
        <v>2009</v>
      </c>
      <c r="G2687" t="s">
        <v>12840</v>
      </c>
      <c r="H2687" t="s">
        <v>13106</v>
      </c>
      <c r="I2687" t="s">
        <v>13107</v>
      </c>
      <c r="J2687" t="s">
        <v>26</v>
      </c>
      <c r="K2687" t="s">
        <v>27</v>
      </c>
      <c r="L2687" t="b">
        <v>1</v>
      </c>
      <c r="M2687" t="s">
        <v>13108</v>
      </c>
      <c r="N2687" t="str">
        <f>"572.8/2"</f>
        <v>572.8/2</v>
      </c>
      <c r="P2687" t="b">
        <v>0</v>
      </c>
      <c r="Q2687" t="b">
        <v>0</v>
      </c>
      <c r="R2687" t="str">
        <f>"9781606920510"</f>
        <v>9781606920510</v>
      </c>
      <c r="S2687" t="str">
        <f>"9781608764143"</f>
        <v>9781608764143</v>
      </c>
      <c r="T2687">
        <v>435414576</v>
      </c>
    </row>
    <row r="2688" spans="1:20" x14ac:dyDescent="0.25">
      <c r="A2688">
        <v>284915</v>
      </c>
      <c r="B2688" t="s">
        <v>13109</v>
      </c>
      <c r="D2688" t="s">
        <v>2269</v>
      </c>
      <c r="E2688" t="s">
        <v>2269</v>
      </c>
      <c r="F2688">
        <v>2009</v>
      </c>
      <c r="G2688" t="s">
        <v>394</v>
      </c>
      <c r="H2688" t="s">
        <v>13110</v>
      </c>
      <c r="I2688" t="s">
        <v>13111</v>
      </c>
      <c r="J2688" t="s">
        <v>26</v>
      </c>
      <c r="K2688" t="s">
        <v>27</v>
      </c>
      <c r="L2688" t="b">
        <v>1</v>
      </c>
      <c r="M2688" t="s">
        <v>13112</v>
      </c>
      <c r="N2688" t="str">
        <f>"621.402/2015118"</f>
        <v>621.402/2015118</v>
      </c>
      <c r="P2688" t="b">
        <v>0</v>
      </c>
      <c r="Q2688" t="b">
        <v>0</v>
      </c>
      <c r="R2688" t="str">
        <f>"9781604569438"</f>
        <v>9781604569438</v>
      </c>
      <c r="S2688" t="str">
        <f>"9781608764204"</f>
        <v>9781608764204</v>
      </c>
      <c r="T2688">
        <v>435409968</v>
      </c>
    </row>
    <row r="2689" spans="1:20" x14ac:dyDescent="0.25">
      <c r="A2689">
        <v>284914</v>
      </c>
      <c r="B2689" t="s">
        <v>13113</v>
      </c>
      <c r="D2689" t="s">
        <v>2269</v>
      </c>
      <c r="E2689" t="s">
        <v>2269</v>
      </c>
      <c r="F2689">
        <v>2009</v>
      </c>
      <c r="G2689" t="s">
        <v>10129</v>
      </c>
      <c r="H2689" t="s">
        <v>13114</v>
      </c>
      <c r="I2689" t="s">
        <v>13115</v>
      </c>
      <c r="J2689" t="s">
        <v>26</v>
      </c>
      <c r="K2689" t="s">
        <v>27</v>
      </c>
      <c r="L2689" t="b">
        <v>1</v>
      </c>
      <c r="M2689" t="s">
        <v>13116</v>
      </c>
      <c r="N2689" t="str">
        <f>"660/.28"</f>
        <v>660/.28</v>
      </c>
      <c r="P2689" t="b">
        <v>0</v>
      </c>
      <c r="Q2689" t="b">
        <v>0</v>
      </c>
      <c r="R2689" t="str">
        <f>"9781604569421"</f>
        <v>9781604569421</v>
      </c>
      <c r="S2689" t="str">
        <f>"9781608764198"</f>
        <v>9781608764198</v>
      </c>
      <c r="T2689">
        <v>435414561</v>
      </c>
    </row>
    <row r="2690" spans="1:20" x14ac:dyDescent="0.25">
      <c r="A2690">
        <v>284913</v>
      </c>
      <c r="B2690" t="s">
        <v>13117</v>
      </c>
      <c r="D2690" t="s">
        <v>2269</v>
      </c>
      <c r="E2690" t="s">
        <v>2269</v>
      </c>
      <c r="F2690">
        <v>2009</v>
      </c>
      <c r="G2690" t="s">
        <v>540</v>
      </c>
      <c r="H2690" t="s">
        <v>13118</v>
      </c>
      <c r="I2690" t="s">
        <v>13119</v>
      </c>
      <c r="J2690" t="s">
        <v>26</v>
      </c>
      <c r="K2690" t="s">
        <v>27</v>
      </c>
      <c r="L2690" t="b">
        <v>1</v>
      </c>
      <c r="M2690" t="s">
        <v>13120</v>
      </c>
      <c r="N2690" t="str">
        <f>"628.5"</f>
        <v>628.5</v>
      </c>
      <c r="P2690" t="b">
        <v>0</v>
      </c>
      <c r="R2690" t="str">
        <f>"9781604569391"</f>
        <v>9781604569391</v>
      </c>
      <c r="S2690" t="str">
        <f>"9781608764082"</f>
        <v>9781608764082</v>
      </c>
      <c r="T2690">
        <v>435409884</v>
      </c>
    </row>
    <row r="2691" spans="1:20" x14ac:dyDescent="0.25">
      <c r="A2691">
        <v>284912</v>
      </c>
      <c r="B2691" t="s">
        <v>13121</v>
      </c>
      <c r="D2691" t="s">
        <v>2269</v>
      </c>
      <c r="E2691" t="s">
        <v>2269</v>
      </c>
      <c r="F2691">
        <v>2009</v>
      </c>
      <c r="G2691" t="s">
        <v>540</v>
      </c>
      <c r="H2691" t="s">
        <v>13122</v>
      </c>
      <c r="I2691" t="s">
        <v>13123</v>
      </c>
      <c r="J2691" t="s">
        <v>26</v>
      </c>
      <c r="K2691" t="s">
        <v>27</v>
      </c>
      <c r="L2691" t="b">
        <v>1</v>
      </c>
      <c r="M2691" t="s">
        <v>13124</v>
      </c>
      <c r="N2691" t="str">
        <f>"363.739/20954147"</f>
        <v>363.739/20954147</v>
      </c>
      <c r="P2691" t="b">
        <v>0</v>
      </c>
      <c r="Q2691" t="b">
        <v>0</v>
      </c>
      <c r="R2691" t="str">
        <f>"9781604569353"</f>
        <v>9781604569353</v>
      </c>
      <c r="S2691" t="str">
        <f>"9781608764068"</f>
        <v>9781608764068</v>
      </c>
      <c r="T2691">
        <v>435409867</v>
      </c>
    </row>
    <row r="2692" spans="1:20" x14ac:dyDescent="0.25">
      <c r="A2692">
        <v>284911</v>
      </c>
      <c r="B2692" t="s">
        <v>13125</v>
      </c>
      <c r="C2692" t="s">
        <v>7373</v>
      </c>
      <c r="D2692" t="s">
        <v>2269</v>
      </c>
      <c r="E2692" t="s">
        <v>2269</v>
      </c>
      <c r="F2692">
        <v>2009</v>
      </c>
      <c r="G2692" t="s">
        <v>7627</v>
      </c>
      <c r="H2692" t="s">
        <v>13126</v>
      </c>
      <c r="I2692" t="s">
        <v>10794</v>
      </c>
      <c r="J2692" t="s">
        <v>26</v>
      </c>
      <c r="K2692" t="s">
        <v>27</v>
      </c>
      <c r="L2692" t="b">
        <v>1</v>
      </c>
      <c r="M2692" t="s">
        <v>13127</v>
      </c>
      <c r="N2692" t="str">
        <f>"612.8"</f>
        <v>612.8</v>
      </c>
      <c r="P2692" t="b">
        <v>0</v>
      </c>
      <c r="R2692" t="str">
        <f>"9781604567328"</f>
        <v>9781604567328</v>
      </c>
      <c r="S2692" t="str">
        <f>"9781608764235"</f>
        <v>9781608764235</v>
      </c>
      <c r="T2692">
        <v>435409854</v>
      </c>
    </row>
    <row r="2693" spans="1:20" x14ac:dyDescent="0.25">
      <c r="A2693">
        <v>284863</v>
      </c>
      <c r="B2693" t="s">
        <v>13128</v>
      </c>
      <c r="D2693" t="s">
        <v>255</v>
      </c>
      <c r="E2693" t="s">
        <v>13129</v>
      </c>
      <c r="F2693">
        <v>2006</v>
      </c>
      <c r="G2693" t="s">
        <v>1893</v>
      </c>
      <c r="H2693" t="s">
        <v>13130</v>
      </c>
      <c r="I2693" t="s">
        <v>13131</v>
      </c>
      <c r="J2693" t="s">
        <v>26</v>
      </c>
      <c r="K2693" t="s">
        <v>27</v>
      </c>
      <c r="L2693" t="b">
        <v>1</v>
      </c>
      <c r="M2693" t="s">
        <v>13132</v>
      </c>
      <c r="N2693" t="str">
        <f>"796.83092;B"</f>
        <v>796.83092;B</v>
      </c>
      <c r="P2693" t="b">
        <v>0</v>
      </c>
      <c r="R2693" t="str">
        <f>"9781590131268"</f>
        <v>9781590131268</v>
      </c>
      <c r="S2693" t="str">
        <f>"9781590133835"</f>
        <v>9781590133835</v>
      </c>
      <c r="T2693">
        <v>434458295</v>
      </c>
    </row>
    <row r="2694" spans="1:20" x14ac:dyDescent="0.25">
      <c r="A2694">
        <v>284302</v>
      </c>
      <c r="B2694" t="s">
        <v>13133</v>
      </c>
      <c r="D2694" t="s">
        <v>131</v>
      </c>
      <c r="E2694" t="s">
        <v>1885</v>
      </c>
      <c r="F2694">
        <v>2009</v>
      </c>
      <c r="G2694" t="s">
        <v>7255</v>
      </c>
      <c r="H2694" t="s">
        <v>13134</v>
      </c>
      <c r="I2694" t="s">
        <v>13135</v>
      </c>
      <c r="J2694" t="s">
        <v>26</v>
      </c>
      <c r="K2694" t="s">
        <v>86</v>
      </c>
      <c r="L2694" t="b">
        <v>1</v>
      </c>
      <c r="M2694" t="s">
        <v>13136</v>
      </c>
      <c r="N2694" t="str">
        <f>"551.6"</f>
        <v>551.6</v>
      </c>
      <c r="O2694" t="s">
        <v>6762</v>
      </c>
      <c r="P2694" t="b">
        <v>0</v>
      </c>
      <c r="Q2694" t="b">
        <v>0</v>
      </c>
      <c r="R2694" t="str">
        <f>"9781578592210"</f>
        <v>9781578592210</v>
      </c>
      <c r="S2694" t="str">
        <f>"9781578592524"</f>
        <v>9781578592524</v>
      </c>
      <c r="T2694">
        <v>433191753</v>
      </c>
    </row>
    <row r="2695" spans="1:20" x14ac:dyDescent="0.25">
      <c r="A2695">
        <v>284013</v>
      </c>
      <c r="B2695" t="s">
        <v>13137</v>
      </c>
      <c r="D2695" t="s">
        <v>1533</v>
      </c>
      <c r="E2695" t="s">
        <v>1533</v>
      </c>
      <c r="F2695">
        <v>2009</v>
      </c>
      <c r="H2695" t="s">
        <v>13138</v>
      </c>
      <c r="I2695" t="s">
        <v>13139</v>
      </c>
      <c r="J2695" t="s">
        <v>26</v>
      </c>
      <c r="K2695" t="s">
        <v>27</v>
      </c>
      <c r="L2695" t="b">
        <v>1</v>
      </c>
      <c r="M2695" t="s">
        <v>13140</v>
      </c>
      <c r="N2695" t="str">
        <f>"414"</f>
        <v>414</v>
      </c>
      <c r="O2695" t="s">
        <v>13141</v>
      </c>
      <c r="P2695" t="b">
        <v>0</v>
      </c>
      <c r="R2695" t="str">
        <f>"9789027248237"</f>
        <v>9789027248237</v>
      </c>
      <c r="S2695" t="str">
        <f>"9789027288967"</f>
        <v>9789027288967</v>
      </c>
      <c r="T2695">
        <v>590674159</v>
      </c>
    </row>
    <row r="2696" spans="1:20" x14ac:dyDescent="0.25">
      <c r="A2696">
        <v>283871</v>
      </c>
      <c r="B2696" t="s">
        <v>13142</v>
      </c>
      <c r="D2696" t="s">
        <v>2269</v>
      </c>
      <c r="E2696" t="s">
        <v>2269</v>
      </c>
      <c r="F2696">
        <v>2009</v>
      </c>
      <c r="G2696" t="s">
        <v>9553</v>
      </c>
      <c r="H2696" t="s">
        <v>13143</v>
      </c>
      <c r="I2696" t="s">
        <v>13144</v>
      </c>
      <c r="J2696" t="s">
        <v>26</v>
      </c>
      <c r="K2696" t="s">
        <v>27</v>
      </c>
      <c r="L2696" t="b">
        <v>1</v>
      </c>
      <c r="M2696" t="s">
        <v>13145</v>
      </c>
      <c r="N2696" t="str">
        <f>"620.1/633"</f>
        <v>620.1/633</v>
      </c>
      <c r="P2696" t="b">
        <v>0</v>
      </c>
      <c r="R2696" t="str">
        <f>"9781604569650"</f>
        <v>9781604569650</v>
      </c>
      <c r="S2696" t="str">
        <f>"9781608763375"</f>
        <v>9781608763375</v>
      </c>
      <c r="T2696">
        <v>434959388</v>
      </c>
    </row>
    <row r="2697" spans="1:20" x14ac:dyDescent="0.25">
      <c r="A2697">
        <v>283869</v>
      </c>
      <c r="B2697" t="s">
        <v>13146</v>
      </c>
      <c r="D2697" t="s">
        <v>2269</v>
      </c>
      <c r="E2697" t="s">
        <v>2269</v>
      </c>
      <c r="F2697">
        <v>2009</v>
      </c>
      <c r="G2697" t="s">
        <v>11258</v>
      </c>
      <c r="H2697" t="s">
        <v>13147</v>
      </c>
      <c r="I2697" t="s">
        <v>13148</v>
      </c>
      <c r="J2697" t="s">
        <v>26</v>
      </c>
      <c r="K2697" t="s">
        <v>27</v>
      </c>
      <c r="L2697" t="b">
        <v>1</v>
      </c>
      <c r="M2697" t="s">
        <v>13149</v>
      </c>
      <c r="N2697" t="str">
        <f>"621.31"</f>
        <v>621.31</v>
      </c>
      <c r="P2697" t="b">
        <v>0</v>
      </c>
      <c r="Q2697" t="b">
        <v>0</v>
      </c>
      <c r="R2697" t="str">
        <f>"9781604568677"</f>
        <v>9781604568677</v>
      </c>
      <c r="S2697" t="str">
        <f>"9781608763344"</f>
        <v>9781608763344</v>
      </c>
      <c r="T2697">
        <v>434926003</v>
      </c>
    </row>
    <row r="2698" spans="1:20" x14ac:dyDescent="0.25">
      <c r="A2698">
        <v>283867</v>
      </c>
      <c r="B2698" t="s">
        <v>13150</v>
      </c>
      <c r="D2698" t="s">
        <v>2269</v>
      </c>
      <c r="E2698" t="s">
        <v>2269</v>
      </c>
      <c r="F2698">
        <v>2009</v>
      </c>
      <c r="G2698" t="s">
        <v>2000</v>
      </c>
      <c r="H2698" t="s">
        <v>13151</v>
      </c>
      <c r="I2698" t="s">
        <v>13152</v>
      </c>
      <c r="J2698" t="s">
        <v>26</v>
      </c>
      <c r="K2698" t="s">
        <v>27</v>
      </c>
      <c r="L2698" t="b">
        <v>1</v>
      </c>
      <c r="M2698" t="s">
        <v>13153</v>
      </c>
      <c r="N2698" t="str">
        <f>"616.8900835"</f>
        <v>616.8900835</v>
      </c>
      <c r="P2698" t="b">
        <v>0</v>
      </c>
      <c r="R2698" t="str">
        <f>"9781604563948"</f>
        <v>9781604563948</v>
      </c>
      <c r="S2698" t="str">
        <f>"9781608763337"</f>
        <v>9781608763337</v>
      </c>
      <c r="T2698">
        <v>434932386</v>
      </c>
    </row>
    <row r="2699" spans="1:20" x14ac:dyDescent="0.25">
      <c r="A2699">
        <v>283863</v>
      </c>
      <c r="B2699" t="s">
        <v>13154</v>
      </c>
      <c r="D2699" t="s">
        <v>2269</v>
      </c>
      <c r="E2699" t="s">
        <v>2269</v>
      </c>
      <c r="F2699">
        <v>2009</v>
      </c>
      <c r="G2699" t="s">
        <v>8669</v>
      </c>
      <c r="H2699" t="s">
        <v>13155</v>
      </c>
      <c r="I2699" t="s">
        <v>13156</v>
      </c>
      <c r="J2699" t="s">
        <v>26</v>
      </c>
      <c r="K2699" t="s">
        <v>27</v>
      </c>
      <c r="L2699" t="b">
        <v>1</v>
      </c>
      <c r="M2699" t="s">
        <v>13157</v>
      </c>
      <c r="N2699" t="str">
        <f>"616.99/431"</f>
        <v>616.99/431</v>
      </c>
      <c r="P2699" t="b">
        <v>0</v>
      </c>
      <c r="R2699" t="str">
        <f>"9781604569490"</f>
        <v>9781604569490</v>
      </c>
      <c r="S2699" t="str">
        <f>"9781608763191"</f>
        <v>9781608763191</v>
      </c>
      <c r="T2699">
        <v>434925932</v>
      </c>
    </row>
    <row r="2700" spans="1:20" x14ac:dyDescent="0.25">
      <c r="A2700">
        <v>283775</v>
      </c>
      <c r="B2700" t="s">
        <v>13158</v>
      </c>
      <c r="C2700" t="s">
        <v>13159</v>
      </c>
      <c r="D2700" t="s">
        <v>12141</v>
      </c>
      <c r="E2700" t="s">
        <v>12141</v>
      </c>
      <c r="F2700">
        <v>2009</v>
      </c>
      <c r="G2700" t="s">
        <v>9917</v>
      </c>
      <c r="H2700" t="s">
        <v>13160</v>
      </c>
      <c r="I2700" t="s">
        <v>13161</v>
      </c>
      <c r="J2700" t="s">
        <v>26</v>
      </c>
      <c r="K2700" t="s">
        <v>27</v>
      </c>
      <c r="L2700" t="b">
        <v>1</v>
      </c>
      <c r="M2700" t="s">
        <v>12144</v>
      </c>
      <c r="N2700" t="str">
        <f>"616.50231"</f>
        <v>616.50231</v>
      </c>
      <c r="O2700" t="s">
        <v>12145</v>
      </c>
      <c r="P2700" t="b">
        <v>0</v>
      </c>
      <c r="R2700" t="str">
        <f>"9781585114160"</f>
        <v>9781585114160</v>
      </c>
      <c r="S2700" t="str">
        <f>"9781441624499"</f>
        <v>9781441624499</v>
      </c>
      <c r="T2700">
        <v>457083770</v>
      </c>
    </row>
    <row r="2701" spans="1:20" x14ac:dyDescent="0.25">
      <c r="A2701">
        <v>283773</v>
      </c>
      <c r="B2701" t="s">
        <v>13162</v>
      </c>
      <c r="C2701" t="s">
        <v>13163</v>
      </c>
      <c r="D2701" t="s">
        <v>12141</v>
      </c>
      <c r="E2701" t="s">
        <v>12141</v>
      </c>
      <c r="F2701">
        <v>2009</v>
      </c>
      <c r="G2701" t="s">
        <v>9242</v>
      </c>
      <c r="H2701" t="s">
        <v>13164</v>
      </c>
      <c r="I2701" t="s">
        <v>13165</v>
      </c>
      <c r="J2701" t="s">
        <v>26</v>
      </c>
      <c r="K2701" t="s">
        <v>27</v>
      </c>
      <c r="L2701" t="b">
        <v>1</v>
      </c>
      <c r="M2701" t="s">
        <v>12144</v>
      </c>
      <c r="N2701" t="str">
        <f>"614.4"</f>
        <v>614.4</v>
      </c>
      <c r="O2701" t="s">
        <v>12145</v>
      </c>
      <c r="P2701" t="b">
        <v>0</v>
      </c>
      <c r="R2701" t="str">
        <f>"9781585114429"</f>
        <v>9781585114429</v>
      </c>
      <c r="S2701" t="str">
        <f>"9781441624475"</f>
        <v>9781441624475</v>
      </c>
      <c r="T2701">
        <v>457085227</v>
      </c>
    </row>
    <row r="2702" spans="1:20" x14ac:dyDescent="0.25">
      <c r="A2702">
        <v>283772</v>
      </c>
      <c r="B2702" t="s">
        <v>13166</v>
      </c>
      <c r="C2702" t="s">
        <v>13167</v>
      </c>
      <c r="D2702" t="s">
        <v>12141</v>
      </c>
      <c r="E2702" t="s">
        <v>12141</v>
      </c>
      <c r="F2702">
        <v>2009</v>
      </c>
      <c r="G2702" t="s">
        <v>9877</v>
      </c>
      <c r="H2702" t="s">
        <v>13168</v>
      </c>
      <c r="I2702" t="s">
        <v>13169</v>
      </c>
      <c r="J2702" t="s">
        <v>26</v>
      </c>
      <c r="K2702" t="s">
        <v>27</v>
      </c>
      <c r="L2702" t="b">
        <v>1</v>
      </c>
      <c r="M2702" t="s">
        <v>12144</v>
      </c>
      <c r="N2702" t="str">
        <f>"616.6"</f>
        <v>616.6</v>
      </c>
      <c r="O2702" t="s">
        <v>12145</v>
      </c>
      <c r="P2702" t="b">
        <v>0</v>
      </c>
      <c r="R2702" t="str">
        <f>"9781585114122"</f>
        <v>9781585114122</v>
      </c>
      <c r="S2702" t="str">
        <f>"9781441624468"</f>
        <v>9781441624468</v>
      </c>
      <c r="T2702">
        <v>457083751</v>
      </c>
    </row>
    <row r="2703" spans="1:20" x14ac:dyDescent="0.25">
      <c r="A2703">
        <v>283746</v>
      </c>
      <c r="B2703" t="s">
        <v>13170</v>
      </c>
      <c r="C2703" t="s">
        <v>13171</v>
      </c>
      <c r="D2703" t="s">
        <v>203</v>
      </c>
      <c r="E2703" t="s">
        <v>13172</v>
      </c>
      <c r="F2703">
        <v>2009</v>
      </c>
      <c r="G2703" t="s">
        <v>4782</v>
      </c>
      <c r="H2703" t="s">
        <v>13173</v>
      </c>
      <c r="I2703" t="s">
        <v>13174</v>
      </c>
      <c r="J2703" t="s">
        <v>26</v>
      </c>
      <c r="K2703" t="s">
        <v>27</v>
      </c>
      <c r="L2703" t="b">
        <v>1</v>
      </c>
      <c r="M2703" t="s">
        <v>13175</v>
      </c>
      <c r="N2703" t="str">
        <f>"914.95/20474"</f>
        <v>914.95/20474</v>
      </c>
      <c r="O2703" t="s">
        <v>13176</v>
      </c>
      <c r="P2703" t="b">
        <v>0</v>
      </c>
      <c r="S2703" t="str">
        <f>"9781848397095"</f>
        <v>9781848397095</v>
      </c>
      <c r="T2703">
        <v>434115818</v>
      </c>
    </row>
    <row r="2704" spans="1:20" x14ac:dyDescent="0.25">
      <c r="A2704">
        <v>283718</v>
      </c>
      <c r="B2704" t="s">
        <v>13177</v>
      </c>
      <c r="C2704" t="s">
        <v>13178</v>
      </c>
      <c r="D2704" t="s">
        <v>13179</v>
      </c>
      <c r="E2704" t="s">
        <v>13180</v>
      </c>
      <c r="F2704">
        <v>2006</v>
      </c>
      <c r="G2704" t="s">
        <v>322</v>
      </c>
      <c r="H2704" t="s">
        <v>13181</v>
      </c>
      <c r="I2704" t="s">
        <v>13182</v>
      </c>
      <c r="J2704" t="s">
        <v>26</v>
      </c>
      <c r="K2704" t="s">
        <v>27</v>
      </c>
      <c r="L2704" t="b">
        <v>1</v>
      </c>
      <c r="M2704" t="s">
        <v>13183</v>
      </c>
      <c r="N2704" t="str">
        <f>"158.7"</f>
        <v>158.7</v>
      </c>
      <c r="O2704" t="s">
        <v>13184</v>
      </c>
      <c r="P2704" t="b">
        <v>0</v>
      </c>
      <c r="R2704" t="str">
        <f>"9780761935322"</f>
        <v>9780761935322</v>
      </c>
      <c r="S2704" t="str">
        <f>"9788132102779"</f>
        <v>9788132102779</v>
      </c>
      <c r="T2704">
        <v>436046113</v>
      </c>
    </row>
    <row r="2705" spans="1:20" x14ac:dyDescent="0.25">
      <c r="A2705">
        <v>283717</v>
      </c>
      <c r="B2705" t="s">
        <v>13185</v>
      </c>
      <c r="C2705" t="s">
        <v>13186</v>
      </c>
      <c r="D2705" t="s">
        <v>13179</v>
      </c>
      <c r="E2705" t="s">
        <v>13180</v>
      </c>
      <c r="F2705">
        <v>2006</v>
      </c>
      <c r="G2705" t="s">
        <v>11494</v>
      </c>
      <c r="H2705" t="s">
        <v>13187</v>
      </c>
      <c r="I2705" t="s">
        <v>13188</v>
      </c>
      <c r="J2705" t="s">
        <v>26</v>
      </c>
      <c r="K2705" t="s">
        <v>27</v>
      </c>
      <c r="L2705" t="b">
        <v>1</v>
      </c>
      <c r="M2705" t="s">
        <v>13189</v>
      </c>
      <c r="N2705" t="str">
        <f>"658.3/124"</f>
        <v>658.3/124</v>
      </c>
      <c r="P2705" t="b">
        <v>0</v>
      </c>
      <c r="R2705" t="str">
        <f>"9780761935285"</f>
        <v>9780761935285</v>
      </c>
      <c r="S2705" t="str">
        <f>"9788132102762"</f>
        <v>9788132102762</v>
      </c>
      <c r="T2705">
        <v>436046089</v>
      </c>
    </row>
    <row r="2706" spans="1:20" x14ac:dyDescent="0.25">
      <c r="A2706">
        <v>283572</v>
      </c>
      <c r="B2706" t="s">
        <v>13190</v>
      </c>
      <c r="D2706" t="s">
        <v>2269</v>
      </c>
      <c r="E2706" t="s">
        <v>2269</v>
      </c>
      <c r="F2706">
        <v>2008</v>
      </c>
      <c r="G2706" t="s">
        <v>540</v>
      </c>
      <c r="H2706" t="s">
        <v>13191</v>
      </c>
      <c r="I2706" t="s">
        <v>13192</v>
      </c>
      <c r="J2706" t="s">
        <v>26</v>
      </c>
      <c r="K2706" t="s">
        <v>27</v>
      </c>
      <c r="L2706" t="b">
        <v>1</v>
      </c>
      <c r="M2706" t="s">
        <v>13193</v>
      </c>
      <c r="N2706" t="str">
        <f>"628.5/2"</f>
        <v>628.5/2</v>
      </c>
      <c r="P2706" t="b">
        <v>0</v>
      </c>
      <c r="Q2706" t="b">
        <v>0</v>
      </c>
      <c r="R2706" t="str">
        <f>"9781604569001"</f>
        <v>9781604569001</v>
      </c>
      <c r="S2706" t="str">
        <f>"9781608762552"</f>
        <v>9781608762552</v>
      </c>
      <c r="T2706">
        <v>433665149</v>
      </c>
    </row>
    <row r="2707" spans="1:20" x14ac:dyDescent="0.25">
      <c r="A2707">
        <v>283546</v>
      </c>
      <c r="B2707" t="s">
        <v>13194</v>
      </c>
      <c r="D2707" t="s">
        <v>2269</v>
      </c>
      <c r="E2707" t="s">
        <v>2269</v>
      </c>
      <c r="F2707">
        <v>2009</v>
      </c>
      <c r="G2707" t="s">
        <v>11264</v>
      </c>
      <c r="H2707" t="s">
        <v>13195</v>
      </c>
      <c r="I2707" t="s">
        <v>13196</v>
      </c>
      <c r="J2707" t="s">
        <v>26</v>
      </c>
      <c r="K2707" t="s">
        <v>27</v>
      </c>
      <c r="L2707" t="b">
        <v>1</v>
      </c>
      <c r="M2707" t="s">
        <v>13197</v>
      </c>
      <c r="N2707" t="str">
        <f>"615/.321"</f>
        <v>615/.321</v>
      </c>
      <c r="O2707" t="s">
        <v>10958</v>
      </c>
      <c r="P2707" t="b">
        <v>0</v>
      </c>
      <c r="Q2707" t="b">
        <v>0</v>
      </c>
      <c r="R2707" t="str">
        <f>"9781607410454"</f>
        <v>9781607410454</v>
      </c>
      <c r="S2707" t="str">
        <f>"9781608762026"</f>
        <v>9781608762026</v>
      </c>
      <c r="T2707">
        <v>433165872</v>
      </c>
    </row>
    <row r="2708" spans="1:20" x14ac:dyDescent="0.25">
      <c r="A2708">
        <v>283493</v>
      </c>
      <c r="B2708" t="s">
        <v>13198</v>
      </c>
      <c r="D2708" t="s">
        <v>10310</v>
      </c>
      <c r="E2708" t="s">
        <v>10310</v>
      </c>
      <c r="F2708">
        <v>2008</v>
      </c>
      <c r="G2708" t="s">
        <v>1550</v>
      </c>
      <c r="H2708" t="s">
        <v>13199</v>
      </c>
      <c r="I2708" t="s">
        <v>13200</v>
      </c>
      <c r="J2708" t="s">
        <v>26</v>
      </c>
      <c r="K2708" t="s">
        <v>27</v>
      </c>
      <c r="L2708" t="b">
        <v>1</v>
      </c>
      <c r="M2708" t="s">
        <v>13201</v>
      </c>
      <c r="N2708" t="str">
        <f>"378.425/74"</f>
        <v>378.425/74</v>
      </c>
      <c r="P2708" t="b">
        <v>0</v>
      </c>
      <c r="R2708" t="str">
        <f>"9780826516107"</f>
        <v>9780826516107</v>
      </c>
      <c r="S2708" t="str">
        <f>"9780826592507"</f>
        <v>9780826592507</v>
      </c>
      <c r="T2708">
        <v>435528503</v>
      </c>
    </row>
    <row r="2709" spans="1:20" x14ac:dyDescent="0.25">
      <c r="A2709">
        <v>283492</v>
      </c>
      <c r="B2709" t="s">
        <v>13202</v>
      </c>
      <c r="C2709" t="s">
        <v>13203</v>
      </c>
      <c r="D2709" t="s">
        <v>10310</v>
      </c>
      <c r="E2709" t="s">
        <v>10310</v>
      </c>
      <c r="F2709">
        <v>2009</v>
      </c>
      <c r="G2709" t="s">
        <v>2771</v>
      </c>
      <c r="H2709" t="s">
        <v>13204</v>
      </c>
      <c r="I2709" t="s">
        <v>13205</v>
      </c>
      <c r="J2709" t="s">
        <v>26</v>
      </c>
      <c r="K2709" t="s">
        <v>27</v>
      </c>
      <c r="L2709" t="b">
        <v>1</v>
      </c>
      <c r="M2709" t="s">
        <v>13206</v>
      </c>
      <c r="N2709" t="str">
        <f>"808/.042071"</f>
        <v>808/.042071</v>
      </c>
      <c r="P2709" t="b">
        <v>0</v>
      </c>
      <c r="R2709" t="str">
        <f>"9780826516152"</f>
        <v>9780826516152</v>
      </c>
      <c r="S2709" t="str">
        <f>"9780826592521"</f>
        <v>9780826592521</v>
      </c>
      <c r="T2709">
        <v>435528479</v>
      </c>
    </row>
    <row r="2710" spans="1:20" x14ac:dyDescent="0.25">
      <c r="A2710">
        <v>283491</v>
      </c>
      <c r="B2710" t="s">
        <v>13207</v>
      </c>
      <c r="C2710" t="s">
        <v>13208</v>
      </c>
      <c r="D2710" t="s">
        <v>10310</v>
      </c>
      <c r="E2710" t="s">
        <v>10310</v>
      </c>
      <c r="F2710">
        <v>2008</v>
      </c>
      <c r="G2710" t="s">
        <v>10017</v>
      </c>
      <c r="H2710" t="s">
        <v>13209</v>
      </c>
      <c r="I2710" t="s">
        <v>13210</v>
      </c>
      <c r="J2710" t="s">
        <v>26</v>
      </c>
      <c r="K2710" t="s">
        <v>27</v>
      </c>
      <c r="L2710" t="b">
        <v>1</v>
      </c>
      <c r="M2710" t="s">
        <v>13211</v>
      </c>
      <c r="N2710" t="str">
        <f>"612.609495"</f>
        <v>612.609495</v>
      </c>
      <c r="P2710" t="b">
        <v>0</v>
      </c>
      <c r="R2710" t="str">
        <f>"9780826515988"</f>
        <v>9780826515988</v>
      </c>
      <c r="S2710" t="str">
        <f>"9780826592453"</f>
        <v>9780826592453</v>
      </c>
      <c r="T2710">
        <v>435528454</v>
      </c>
    </row>
    <row r="2711" spans="1:20" x14ac:dyDescent="0.25">
      <c r="A2711">
        <v>281678</v>
      </c>
      <c r="B2711" t="s">
        <v>13212</v>
      </c>
      <c r="D2711" t="s">
        <v>203</v>
      </c>
      <c r="E2711" t="s">
        <v>1109</v>
      </c>
      <c r="F2711">
        <v>2009</v>
      </c>
      <c r="G2711" t="s">
        <v>1110</v>
      </c>
      <c r="H2711" t="s">
        <v>13213</v>
      </c>
      <c r="I2711" t="s">
        <v>13214</v>
      </c>
      <c r="J2711" t="s">
        <v>26</v>
      </c>
      <c r="K2711" t="s">
        <v>86</v>
      </c>
      <c r="L2711" t="b">
        <v>1</v>
      </c>
      <c r="M2711" t="s">
        <v>8152</v>
      </c>
      <c r="N2711" t="str">
        <f>"616.89007"</f>
        <v>616.89007</v>
      </c>
      <c r="P2711" t="b">
        <v>0</v>
      </c>
      <c r="R2711" t="str">
        <f>"9781904671602"</f>
        <v>9781904671602</v>
      </c>
      <c r="S2711" t="str">
        <f>"9781904671701"</f>
        <v>9781904671701</v>
      </c>
      <c r="T2711">
        <v>434492127</v>
      </c>
    </row>
    <row r="2712" spans="1:20" x14ac:dyDescent="0.25">
      <c r="A2712">
        <v>281613</v>
      </c>
      <c r="B2712" t="s">
        <v>13215</v>
      </c>
      <c r="C2712" t="s">
        <v>13216</v>
      </c>
      <c r="D2712" t="s">
        <v>1364</v>
      </c>
      <c r="E2712" t="s">
        <v>1364</v>
      </c>
      <c r="F2712">
        <v>2003</v>
      </c>
      <c r="G2712" t="s">
        <v>13217</v>
      </c>
      <c r="H2712" t="s">
        <v>13218</v>
      </c>
      <c r="I2712" t="s">
        <v>13219</v>
      </c>
      <c r="J2712" t="s">
        <v>7790</v>
      </c>
      <c r="K2712" t="s">
        <v>27</v>
      </c>
      <c r="L2712" t="b">
        <v>1</v>
      </c>
      <c r="M2712" t="s">
        <v>13220</v>
      </c>
      <c r="N2712" t="str">
        <f>"281.108"</f>
        <v>281.108</v>
      </c>
      <c r="O2712" t="s">
        <v>13221</v>
      </c>
      <c r="P2712" t="b">
        <v>0</v>
      </c>
      <c r="R2712" t="str">
        <f>"9783110175332"</f>
        <v>9783110175332</v>
      </c>
      <c r="S2712" t="str">
        <f>"9783110200836"</f>
        <v>9783110200836</v>
      </c>
      <c r="T2712">
        <v>290481975</v>
      </c>
    </row>
    <row r="2713" spans="1:20" x14ac:dyDescent="0.25">
      <c r="A2713">
        <v>281612</v>
      </c>
      <c r="B2713" t="s">
        <v>13222</v>
      </c>
      <c r="C2713" t="s">
        <v>13223</v>
      </c>
      <c r="D2713" t="s">
        <v>1364</v>
      </c>
      <c r="E2713" t="s">
        <v>1364</v>
      </c>
      <c r="F2713">
        <v>2003</v>
      </c>
      <c r="G2713" t="s">
        <v>4926</v>
      </c>
      <c r="H2713" t="s">
        <v>13224</v>
      </c>
      <c r="J2713" t="s">
        <v>7790</v>
      </c>
      <c r="K2713" t="s">
        <v>27</v>
      </c>
      <c r="L2713" t="b">
        <v>1</v>
      </c>
      <c r="M2713" t="s">
        <v>13225</v>
      </c>
      <c r="N2713" t="str">
        <f>"198.94"</f>
        <v>198.94</v>
      </c>
      <c r="O2713" t="s">
        <v>13226</v>
      </c>
      <c r="P2713" t="b">
        <v>0</v>
      </c>
      <c r="R2713" t="str">
        <f>"9783110175677"</f>
        <v>9783110175677</v>
      </c>
      <c r="S2713" t="str">
        <f>"9783110200911"</f>
        <v>9783110200911</v>
      </c>
      <c r="T2713">
        <v>436432541</v>
      </c>
    </row>
    <row r="2714" spans="1:20" x14ac:dyDescent="0.25">
      <c r="A2714">
        <v>281606</v>
      </c>
      <c r="B2714" t="s">
        <v>13227</v>
      </c>
      <c r="D2714" t="s">
        <v>1364</v>
      </c>
      <c r="E2714" t="s">
        <v>1364</v>
      </c>
      <c r="F2714">
        <v>2003</v>
      </c>
      <c r="G2714" t="s">
        <v>8458</v>
      </c>
      <c r="H2714" t="s">
        <v>13228</v>
      </c>
      <c r="I2714" t="s">
        <v>13229</v>
      </c>
      <c r="J2714" t="s">
        <v>26</v>
      </c>
      <c r="K2714" t="s">
        <v>27</v>
      </c>
      <c r="L2714" t="b">
        <v>1</v>
      </c>
      <c r="M2714" t="s">
        <v>13230</v>
      </c>
      <c r="N2714" t="str">
        <f>"512/.02"</f>
        <v>512/.02</v>
      </c>
      <c r="O2714" t="s">
        <v>13231</v>
      </c>
      <c r="P2714" t="b">
        <v>0</v>
      </c>
      <c r="R2714" t="str">
        <f>"9783110175448"</f>
        <v>9783110175448</v>
      </c>
      <c r="S2714" t="str">
        <f>"9783110198164"</f>
        <v>9783110198164</v>
      </c>
      <c r="T2714">
        <v>435549001</v>
      </c>
    </row>
    <row r="2715" spans="1:20" x14ac:dyDescent="0.25">
      <c r="A2715">
        <v>281598</v>
      </c>
      <c r="B2715" t="s">
        <v>13232</v>
      </c>
      <c r="D2715" t="s">
        <v>1364</v>
      </c>
      <c r="E2715" t="s">
        <v>1364</v>
      </c>
      <c r="F2715">
        <v>2003</v>
      </c>
      <c r="G2715" t="s">
        <v>13233</v>
      </c>
      <c r="H2715" t="s">
        <v>13234</v>
      </c>
      <c r="I2715" t="s">
        <v>9332</v>
      </c>
      <c r="J2715" t="s">
        <v>26</v>
      </c>
      <c r="K2715" t="s">
        <v>27</v>
      </c>
      <c r="L2715" t="b">
        <v>1</v>
      </c>
      <c r="M2715" t="s">
        <v>13235</v>
      </c>
      <c r="N2715" t="str">
        <f>"514/.224"</f>
        <v>514/.224</v>
      </c>
      <c r="O2715" t="s">
        <v>13236</v>
      </c>
      <c r="P2715" t="b">
        <v>0</v>
      </c>
      <c r="R2715" t="str">
        <f>"9783110170054"</f>
        <v>9783110170054</v>
      </c>
      <c r="S2715" t="str">
        <f>"9783110198034"</f>
        <v>9783110198034</v>
      </c>
      <c r="T2715">
        <v>435675931</v>
      </c>
    </row>
    <row r="2716" spans="1:20" x14ac:dyDescent="0.25">
      <c r="A2716">
        <v>281594</v>
      </c>
      <c r="B2716" t="s">
        <v>13237</v>
      </c>
      <c r="D2716" t="s">
        <v>1364</v>
      </c>
      <c r="E2716" t="s">
        <v>1364</v>
      </c>
      <c r="F2716">
        <v>2004</v>
      </c>
      <c r="G2716" t="s">
        <v>5014</v>
      </c>
      <c r="H2716" t="s">
        <v>13238</v>
      </c>
      <c r="I2716" t="s">
        <v>13239</v>
      </c>
      <c r="J2716" t="s">
        <v>7790</v>
      </c>
      <c r="K2716" t="s">
        <v>27</v>
      </c>
      <c r="L2716" t="b">
        <v>1</v>
      </c>
      <c r="M2716" t="s">
        <v>13240</v>
      </c>
      <c r="N2716" t="str">
        <f>"511/.6"</f>
        <v>511/.6</v>
      </c>
      <c r="O2716" t="s">
        <v>13241</v>
      </c>
      <c r="P2716" t="b">
        <v>0</v>
      </c>
      <c r="R2716" t="str">
        <f>"9783110167276"</f>
        <v>9783110167276</v>
      </c>
      <c r="S2716" t="str">
        <f>"9783110197990"</f>
        <v>9783110197990</v>
      </c>
      <c r="T2716">
        <v>276373350</v>
      </c>
    </row>
    <row r="2717" spans="1:20" x14ac:dyDescent="0.25">
      <c r="A2717">
        <v>281583</v>
      </c>
      <c r="B2717" t="s">
        <v>13242</v>
      </c>
      <c r="C2717" t="s">
        <v>13243</v>
      </c>
      <c r="D2717" t="s">
        <v>1364</v>
      </c>
      <c r="E2717" t="s">
        <v>1364</v>
      </c>
      <c r="F2717">
        <v>2003</v>
      </c>
      <c r="G2717" t="s">
        <v>2014</v>
      </c>
      <c r="H2717" t="s">
        <v>13244</v>
      </c>
      <c r="I2717" t="s">
        <v>13245</v>
      </c>
      <c r="J2717" t="s">
        <v>7790</v>
      </c>
      <c r="K2717" t="s">
        <v>27</v>
      </c>
      <c r="L2717" t="b">
        <v>1</v>
      </c>
      <c r="M2717" t="s">
        <v>13246</v>
      </c>
      <c r="N2717" t="str">
        <f>"193"</f>
        <v>193</v>
      </c>
      <c r="O2717" t="s">
        <v>13247</v>
      </c>
      <c r="P2717" t="b">
        <v>0</v>
      </c>
      <c r="R2717" t="str">
        <f>"9783110177572"</f>
        <v>9783110177572</v>
      </c>
      <c r="S2717" t="str">
        <f>"9783110204858"</f>
        <v>9783110204858</v>
      </c>
      <c r="T2717">
        <v>449936753</v>
      </c>
    </row>
    <row r="2718" spans="1:20" x14ac:dyDescent="0.25">
      <c r="A2718">
        <v>281522</v>
      </c>
      <c r="B2718" t="s">
        <v>13248</v>
      </c>
      <c r="C2718" t="s">
        <v>13249</v>
      </c>
      <c r="D2718" t="s">
        <v>12187</v>
      </c>
      <c r="E2718" t="s">
        <v>12187</v>
      </c>
      <c r="F2718">
        <v>2008</v>
      </c>
      <c r="G2718" t="s">
        <v>400</v>
      </c>
      <c r="H2718" t="s">
        <v>13250</v>
      </c>
      <c r="I2718" t="s">
        <v>13251</v>
      </c>
      <c r="J2718" t="s">
        <v>26</v>
      </c>
      <c r="K2718" t="s">
        <v>27</v>
      </c>
      <c r="L2718" t="b">
        <v>1</v>
      </c>
      <c r="M2718" t="s">
        <v>13252</v>
      </c>
      <c r="N2718" t="str">
        <f>"628"</f>
        <v>628</v>
      </c>
      <c r="P2718" t="b">
        <v>0</v>
      </c>
      <c r="R2718" t="str">
        <f>"9788122422122"</f>
        <v>9788122422122</v>
      </c>
      <c r="S2718" t="str">
        <f>"9788122427011"</f>
        <v>9788122427011</v>
      </c>
      <c r="T2718">
        <v>430844539</v>
      </c>
    </row>
    <row r="2719" spans="1:20" x14ac:dyDescent="0.25">
      <c r="A2719">
        <v>281475</v>
      </c>
      <c r="B2719" t="s">
        <v>13253</v>
      </c>
      <c r="C2719" t="s">
        <v>7373</v>
      </c>
      <c r="D2719" t="s">
        <v>2269</v>
      </c>
      <c r="E2719" t="s">
        <v>2269</v>
      </c>
      <c r="F2719">
        <v>2009</v>
      </c>
      <c r="G2719" t="s">
        <v>303</v>
      </c>
      <c r="H2719" t="s">
        <v>13254</v>
      </c>
      <c r="I2719" t="s">
        <v>13255</v>
      </c>
      <c r="J2719" t="s">
        <v>26</v>
      </c>
      <c r="K2719" t="s">
        <v>27</v>
      </c>
      <c r="L2719" t="b">
        <v>1</v>
      </c>
      <c r="M2719" t="s">
        <v>13256</v>
      </c>
      <c r="N2719" t="str">
        <f>"667/.2"</f>
        <v>667/.2</v>
      </c>
      <c r="P2719" t="b">
        <v>0</v>
      </c>
      <c r="Q2719" t="b">
        <v>0</v>
      </c>
      <c r="R2719" t="str">
        <f>"9781606920275"</f>
        <v>9781606920275</v>
      </c>
      <c r="S2719" t="str">
        <f>"9781608761951"</f>
        <v>9781608761951</v>
      </c>
      <c r="T2719">
        <v>433049628</v>
      </c>
    </row>
    <row r="2720" spans="1:20" x14ac:dyDescent="0.25">
      <c r="A2720">
        <v>281335</v>
      </c>
      <c r="B2720" t="s">
        <v>13257</v>
      </c>
      <c r="D2720" t="s">
        <v>131</v>
      </c>
      <c r="E2720" t="s">
        <v>1885</v>
      </c>
      <c r="F2720">
        <v>2009</v>
      </c>
      <c r="G2720" t="s">
        <v>12167</v>
      </c>
      <c r="H2720" t="s">
        <v>13258</v>
      </c>
      <c r="I2720" t="s">
        <v>13259</v>
      </c>
      <c r="J2720" t="s">
        <v>26</v>
      </c>
      <c r="K2720" t="s">
        <v>86</v>
      </c>
      <c r="L2720" t="b">
        <v>1</v>
      </c>
      <c r="M2720" t="s">
        <v>13260</v>
      </c>
      <c r="N2720" t="str">
        <f>"202/.117"</f>
        <v>202/.117</v>
      </c>
      <c r="P2720" t="b">
        <v>0</v>
      </c>
      <c r="Q2720" t="b">
        <v>0</v>
      </c>
      <c r="R2720" t="str">
        <f>"9781578592142"</f>
        <v>9781578592142</v>
      </c>
      <c r="S2720" t="str">
        <f>"9781578592517"</f>
        <v>9781578592517</v>
      </c>
      <c r="T2720">
        <v>430486647</v>
      </c>
    </row>
    <row r="2721" spans="1:20" x14ac:dyDescent="0.25">
      <c r="A2721">
        <v>281227</v>
      </c>
      <c r="B2721" t="s">
        <v>13261</v>
      </c>
      <c r="D2721" t="s">
        <v>2269</v>
      </c>
      <c r="E2721" t="s">
        <v>2269</v>
      </c>
      <c r="F2721">
        <v>2009</v>
      </c>
      <c r="G2721" t="s">
        <v>8997</v>
      </c>
      <c r="H2721" t="s">
        <v>13262</v>
      </c>
      <c r="I2721" t="s">
        <v>13263</v>
      </c>
      <c r="J2721" t="s">
        <v>26</v>
      </c>
      <c r="K2721" t="s">
        <v>27</v>
      </c>
      <c r="L2721" t="b">
        <v>1</v>
      </c>
      <c r="M2721" t="s">
        <v>13264</v>
      </c>
      <c r="N2721" t="str">
        <f>"616.3/623042"</f>
        <v>616.3/623042</v>
      </c>
      <c r="P2721" t="b">
        <v>0</v>
      </c>
      <c r="R2721" t="str">
        <f>"9781604568882"</f>
        <v>9781604568882</v>
      </c>
      <c r="S2721" t="str">
        <f>"9781607419204"</f>
        <v>9781607419204</v>
      </c>
      <c r="T2721">
        <v>432049077</v>
      </c>
    </row>
    <row r="2722" spans="1:20" x14ac:dyDescent="0.25">
      <c r="A2722">
        <v>281226</v>
      </c>
      <c r="B2722" t="s">
        <v>13265</v>
      </c>
      <c r="D2722" t="s">
        <v>2269</v>
      </c>
      <c r="E2722" t="s">
        <v>2269</v>
      </c>
      <c r="F2722">
        <v>2009</v>
      </c>
      <c r="G2722" t="s">
        <v>7374</v>
      </c>
      <c r="H2722" t="s">
        <v>13266</v>
      </c>
      <c r="I2722" t="s">
        <v>13267</v>
      </c>
      <c r="J2722" t="s">
        <v>26</v>
      </c>
      <c r="K2722" t="s">
        <v>27</v>
      </c>
      <c r="L2722" t="b">
        <v>1</v>
      </c>
      <c r="M2722" t="s">
        <v>13268</v>
      </c>
      <c r="N2722" t="str">
        <f>"541/.22"</f>
        <v>541/.22</v>
      </c>
      <c r="P2722" t="b">
        <v>0</v>
      </c>
      <c r="Q2722" t="b">
        <v>0</v>
      </c>
      <c r="R2722" t="str">
        <f>"9781604569346"</f>
        <v>9781604569346</v>
      </c>
      <c r="S2722" t="str">
        <f>"9781607419129"</f>
        <v>9781607419129</v>
      </c>
      <c r="T2722">
        <v>432065552</v>
      </c>
    </row>
    <row r="2723" spans="1:20" x14ac:dyDescent="0.25">
      <c r="A2723">
        <v>281225</v>
      </c>
      <c r="B2723" t="s">
        <v>13269</v>
      </c>
      <c r="D2723" t="s">
        <v>2269</v>
      </c>
      <c r="E2723" t="s">
        <v>2269</v>
      </c>
      <c r="F2723">
        <v>2009</v>
      </c>
      <c r="G2723" t="s">
        <v>12598</v>
      </c>
      <c r="H2723" t="s">
        <v>13270</v>
      </c>
      <c r="I2723" t="s">
        <v>13271</v>
      </c>
      <c r="J2723" t="s">
        <v>26</v>
      </c>
      <c r="K2723" t="s">
        <v>27</v>
      </c>
      <c r="L2723" t="b">
        <v>1</v>
      </c>
      <c r="M2723" t="s">
        <v>13272</v>
      </c>
      <c r="N2723" t="str">
        <f>"621.36"</f>
        <v>621.36</v>
      </c>
      <c r="P2723" t="b">
        <v>0</v>
      </c>
      <c r="Q2723" t="b">
        <v>0</v>
      </c>
      <c r="R2723" t="str">
        <f>"9781604569803"</f>
        <v>9781604569803</v>
      </c>
      <c r="S2723" t="str">
        <f>"9781607419112"</f>
        <v>9781607419112</v>
      </c>
      <c r="T2723">
        <v>432049035</v>
      </c>
    </row>
    <row r="2724" spans="1:20" x14ac:dyDescent="0.25">
      <c r="A2724">
        <v>281224</v>
      </c>
      <c r="B2724" t="s">
        <v>13273</v>
      </c>
      <c r="D2724" t="s">
        <v>2269</v>
      </c>
      <c r="E2724" t="s">
        <v>2269</v>
      </c>
      <c r="F2724">
        <v>2009</v>
      </c>
      <c r="G2724" t="s">
        <v>13274</v>
      </c>
      <c r="H2724" t="s">
        <v>13275</v>
      </c>
      <c r="I2724" t="s">
        <v>13276</v>
      </c>
      <c r="J2724" t="s">
        <v>26</v>
      </c>
      <c r="K2724" t="s">
        <v>27</v>
      </c>
      <c r="L2724" t="b">
        <v>1</v>
      </c>
      <c r="M2724" t="s">
        <v>13277</v>
      </c>
      <c r="N2724" t="str">
        <f>"519.2/33"</f>
        <v>519.2/33</v>
      </c>
      <c r="P2724" t="b">
        <v>0</v>
      </c>
      <c r="R2724" t="str">
        <f>"9781604569773"</f>
        <v>9781604569773</v>
      </c>
      <c r="S2724" t="str">
        <f>"9781607419105"</f>
        <v>9781607419105</v>
      </c>
      <c r="T2724">
        <v>432063224</v>
      </c>
    </row>
    <row r="2725" spans="1:20" x14ac:dyDescent="0.25">
      <c r="A2725">
        <v>281223</v>
      </c>
      <c r="B2725" t="s">
        <v>13278</v>
      </c>
      <c r="D2725" t="s">
        <v>2269</v>
      </c>
      <c r="E2725" t="s">
        <v>2269</v>
      </c>
      <c r="F2725">
        <v>2009</v>
      </c>
      <c r="G2725" t="s">
        <v>303</v>
      </c>
      <c r="H2725" t="s">
        <v>13279</v>
      </c>
      <c r="I2725" t="s">
        <v>13280</v>
      </c>
      <c r="J2725" t="s">
        <v>26</v>
      </c>
      <c r="K2725" t="s">
        <v>27</v>
      </c>
      <c r="L2725" t="b">
        <v>1</v>
      </c>
      <c r="M2725" t="s">
        <v>13281</v>
      </c>
      <c r="N2725" t="str">
        <f>"667/.20286"</f>
        <v>667/.20286</v>
      </c>
      <c r="P2725" t="b">
        <v>0</v>
      </c>
      <c r="Q2725" t="b">
        <v>0</v>
      </c>
      <c r="R2725" t="str">
        <f>"9781604569360"</f>
        <v>9781604569360</v>
      </c>
      <c r="S2725" t="str">
        <f>"9781607419099"</f>
        <v>9781607419099</v>
      </c>
      <c r="T2725">
        <v>430217134</v>
      </c>
    </row>
    <row r="2726" spans="1:20" x14ac:dyDescent="0.25">
      <c r="A2726">
        <v>281222</v>
      </c>
      <c r="B2726" t="s">
        <v>13282</v>
      </c>
      <c r="C2726" t="s">
        <v>13283</v>
      </c>
      <c r="D2726" t="s">
        <v>2269</v>
      </c>
      <c r="E2726" t="s">
        <v>2269</v>
      </c>
      <c r="F2726">
        <v>2009</v>
      </c>
      <c r="G2726" t="s">
        <v>12407</v>
      </c>
      <c r="H2726" t="s">
        <v>13284</v>
      </c>
      <c r="I2726" t="s">
        <v>13285</v>
      </c>
      <c r="J2726" t="s">
        <v>26</v>
      </c>
      <c r="K2726" t="s">
        <v>27</v>
      </c>
      <c r="L2726" t="b">
        <v>1</v>
      </c>
      <c r="M2726" t="s">
        <v>13286</v>
      </c>
      <c r="N2726" t="str">
        <f>"530.14/3"</f>
        <v>530.14/3</v>
      </c>
      <c r="P2726" t="b">
        <v>0</v>
      </c>
      <c r="Q2726" t="b">
        <v>0</v>
      </c>
      <c r="R2726" t="str">
        <f>"9781604560688"</f>
        <v>9781604560688</v>
      </c>
      <c r="S2726" t="str">
        <f>"9781607419082"</f>
        <v>9781607419082</v>
      </c>
      <c r="T2726">
        <v>430195936</v>
      </c>
    </row>
    <row r="2727" spans="1:20" x14ac:dyDescent="0.25">
      <c r="A2727">
        <v>281219</v>
      </c>
      <c r="B2727" t="s">
        <v>13287</v>
      </c>
      <c r="D2727" t="s">
        <v>2269</v>
      </c>
      <c r="E2727" t="s">
        <v>2269</v>
      </c>
      <c r="F2727">
        <v>2009</v>
      </c>
      <c r="G2727" t="s">
        <v>8293</v>
      </c>
      <c r="H2727" t="s">
        <v>13288</v>
      </c>
      <c r="I2727" t="s">
        <v>13289</v>
      </c>
      <c r="J2727" t="s">
        <v>26</v>
      </c>
      <c r="K2727" t="s">
        <v>27</v>
      </c>
      <c r="L2727" t="b">
        <v>1</v>
      </c>
      <c r="M2727" t="s">
        <v>13290</v>
      </c>
      <c r="N2727" t="str">
        <f>"628.1/68091692"</f>
        <v>628.1/68091692</v>
      </c>
      <c r="P2727" t="b">
        <v>0</v>
      </c>
      <c r="Q2727" t="b">
        <v>0</v>
      </c>
      <c r="R2727" t="str">
        <f>"9781606921067"</f>
        <v>9781606921067</v>
      </c>
      <c r="S2727" t="str">
        <f>"9781607419051"</f>
        <v>9781607419051</v>
      </c>
      <c r="T2727">
        <v>430195858</v>
      </c>
    </row>
    <row r="2728" spans="1:20" x14ac:dyDescent="0.25">
      <c r="A2728">
        <v>281213</v>
      </c>
      <c r="B2728" t="s">
        <v>13291</v>
      </c>
      <c r="D2728" t="s">
        <v>2269</v>
      </c>
      <c r="E2728" t="s">
        <v>2269</v>
      </c>
      <c r="F2728">
        <v>2009</v>
      </c>
      <c r="G2728" t="s">
        <v>8701</v>
      </c>
      <c r="H2728" t="s">
        <v>13292</v>
      </c>
      <c r="I2728" t="s">
        <v>13293</v>
      </c>
      <c r="J2728" t="s">
        <v>26</v>
      </c>
      <c r="K2728" t="s">
        <v>27</v>
      </c>
      <c r="L2728" t="b">
        <v>1</v>
      </c>
      <c r="M2728" t="s">
        <v>13294</v>
      </c>
      <c r="N2728" t="str">
        <f>"572.633"</f>
        <v>572.633</v>
      </c>
      <c r="P2728" t="b">
        <v>0</v>
      </c>
      <c r="Q2728" t="b">
        <v>0</v>
      </c>
      <c r="R2728" t="str">
        <f>"9781606924662"</f>
        <v>9781606924662</v>
      </c>
      <c r="S2728" t="str">
        <f>"9781607416890"</f>
        <v>9781607416890</v>
      </c>
      <c r="T2728">
        <v>436149505</v>
      </c>
    </row>
    <row r="2729" spans="1:20" x14ac:dyDescent="0.25">
      <c r="A2729">
        <v>281209</v>
      </c>
      <c r="B2729" t="s">
        <v>13295</v>
      </c>
      <c r="D2729" t="s">
        <v>2269</v>
      </c>
      <c r="E2729" t="s">
        <v>2269</v>
      </c>
      <c r="F2729">
        <v>2009</v>
      </c>
      <c r="G2729" t="s">
        <v>9050</v>
      </c>
      <c r="H2729" t="s">
        <v>13296</v>
      </c>
      <c r="I2729" t="s">
        <v>13297</v>
      </c>
      <c r="J2729" t="s">
        <v>26</v>
      </c>
      <c r="K2729" t="s">
        <v>27</v>
      </c>
      <c r="L2729" t="b">
        <v>1</v>
      </c>
      <c r="M2729" t="s">
        <v>13298</v>
      </c>
      <c r="N2729" t="str">
        <f>"547/.7"</f>
        <v>547/.7</v>
      </c>
      <c r="P2729" t="b">
        <v>0</v>
      </c>
      <c r="R2729" t="str">
        <f>"9781606922224"</f>
        <v>9781606922224</v>
      </c>
      <c r="S2729" t="str">
        <f>"9781607416845"</f>
        <v>9781607416845</v>
      </c>
      <c r="T2729">
        <v>430196005</v>
      </c>
    </row>
    <row r="2730" spans="1:20" x14ac:dyDescent="0.25">
      <c r="A2730">
        <v>281208</v>
      </c>
      <c r="B2730" t="s">
        <v>13299</v>
      </c>
      <c r="C2730" t="s">
        <v>13300</v>
      </c>
      <c r="D2730" t="s">
        <v>2269</v>
      </c>
      <c r="E2730" t="s">
        <v>2269</v>
      </c>
      <c r="F2730">
        <v>2009</v>
      </c>
      <c r="G2730" t="s">
        <v>9266</v>
      </c>
      <c r="H2730" t="s">
        <v>13301</v>
      </c>
      <c r="I2730" t="s">
        <v>13302</v>
      </c>
      <c r="J2730" t="s">
        <v>26</v>
      </c>
      <c r="K2730" t="s">
        <v>27</v>
      </c>
      <c r="L2730" t="b">
        <v>1</v>
      </c>
      <c r="M2730" t="s">
        <v>8885</v>
      </c>
      <c r="N2730" t="str">
        <f>"615.8/95"</f>
        <v>615.8/95</v>
      </c>
      <c r="O2730" t="s">
        <v>8996</v>
      </c>
      <c r="P2730" t="b">
        <v>0</v>
      </c>
      <c r="Q2730" t="b">
        <v>0</v>
      </c>
      <c r="R2730" t="str">
        <f>"9781606925324"</f>
        <v>9781606925324</v>
      </c>
      <c r="S2730" t="str">
        <f>"9781607416821"</f>
        <v>9781607416821</v>
      </c>
      <c r="T2730">
        <v>429920972</v>
      </c>
    </row>
    <row r="2731" spans="1:20" x14ac:dyDescent="0.25">
      <c r="A2731">
        <v>281207</v>
      </c>
      <c r="B2731" t="s">
        <v>13303</v>
      </c>
      <c r="D2731" t="s">
        <v>2269</v>
      </c>
      <c r="E2731" t="s">
        <v>2269</v>
      </c>
      <c r="F2731">
        <v>2009</v>
      </c>
      <c r="G2731" t="s">
        <v>8669</v>
      </c>
      <c r="H2731" t="s">
        <v>13304</v>
      </c>
      <c r="I2731" t="s">
        <v>13305</v>
      </c>
      <c r="J2731" t="s">
        <v>26</v>
      </c>
      <c r="K2731" t="s">
        <v>27</v>
      </c>
      <c r="L2731" t="b">
        <v>1</v>
      </c>
      <c r="M2731" t="s">
        <v>13306</v>
      </c>
      <c r="N2731" t="str">
        <f>"616.99/431"</f>
        <v>616.99/431</v>
      </c>
      <c r="P2731" t="b">
        <v>0</v>
      </c>
      <c r="Q2731" t="b">
        <v>0</v>
      </c>
      <c r="R2731" t="str">
        <f>"9781604569322"</f>
        <v>9781604569322</v>
      </c>
      <c r="S2731" t="str">
        <f>"9781607416814"</f>
        <v>9781607416814</v>
      </c>
      <c r="T2731">
        <v>429918312</v>
      </c>
    </row>
    <row r="2732" spans="1:20" x14ac:dyDescent="0.25">
      <c r="A2732">
        <v>281205</v>
      </c>
      <c r="B2732" t="s">
        <v>13307</v>
      </c>
      <c r="D2732" t="s">
        <v>2269</v>
      </c>
      <c r="E2732" t="s">
        <v>2269</v>
      </c>
      <c r="F2732">
        <v>2009</v>
      </c>
      <c r="G2732" t="s">
        <v>2049</v>
      </c>
      <c r="H2732" t="s">
        <v>13308</v>
      </c>
      <c r="I2732" t="s">
        <v>13309</v>
      </c>
      <c r="J2732" t="s">
        <v>26</v>
      </c>
      <c r="K2732" t="s">
        <v>27</v>
      </c>
      <c r="L2732" t="b">
        <v>1</v>
      </c>
      <c r="M2732" t="s">
        <v>13310</v>
      </c>
      <c r="N2732" t="str">
        <f>"613.8/4"</f>
        <v>613.8/4</v>
      </c>
      <c r="O2732" t="s">
        <v>8996</v>
      </c>
      <c r="P2732" t="b">
        <v>0</v>
      </c>
      <c r="Q2732" t="b">
        <v>0</v>
      </c>
      <c r="R2732" t="str">
        <f>"9781604564372"</f>
        <v>9781604564372</v>
      </c>
      <c r="S2732" t="str">
        <f>"9781607416791"</f>
        <v>9781607416791</v>
      </c>
      <c r="T2732">
        <v>429918271</v>
      </c>
    </row>
    <row r="2733" spans="1:20" x14ac:dyDescent="0.25">
      <c r="A2733">
        <v>281204</v>
      </c>
      <c r="B2733" t="s">
        <v>13311</v>
      </c>
      <c r="D2733" t="s">
        <v>2269</v>
      </c>
      <c r="E2733" t="s">
        <v>2269</v>
      </c>
      <c r="F2733">
        <v>2009</v>
      </c>
      <c r="G2733" t="s">
        <v>10729</v>
      </c>
      <c r="H2733" t="s">
        <v>13312</v>
      </c>
      <c r="I2733" t="s">
        <v>13313</v>
      </c>
      <c r="J2733" t="s">
        <v>26</v>
      </c>
      <c r="K2733" t="s">
        <v>27</v>
      </c>
      <c r="L2733" t="b">
        <v>1</v>
      </c>
      <c r="M2733" t="s">
        <v>13314</v>
      </c>
      <c r="N2733" t="str">
        <f>"624.1/71"</f>
        <v>624.1/71</v>
      </c>
      <c r="P2733" t="b">
        <v>0</v>
      </c>
      <c r="Q2733" t="b">
        <v>0</v>
      </c>
      <c r="R2733" t="str">
        <f>"9781606924860"</f>
        <v>9781606924860</v>
      </c>
      <c r="S2733" t="str">
        <f>"9781607414117"</f>
        <v>9781607414117</v>
      </c>
      <c r="T2733">
        <v>430024648</v>
      </c>
    </row>
    <row r="2734" spans="1:20" x14ac:dyDescent="0.25">
      <c r="A2734">
        <v>281201</v>
      </c>
      <c r="B2734" t="s">
        <v>13315</v>
      </c>
      <c r="D2734" t="s">
        <v>2269</v>
      </c>
      <c r="E2734" t="s">
        <v>2269</v>
      </c>
      <c r="F2734">
        <v>2009</v>
      </c>
      <c r="G2734" t="s">
        <v>12032</v>
      </c>
      <c r="H2734" t="s">
        <v>13316</v>
      </c>
      <c r="I2734" t="s">
        <v>13317</v>
      </c>
      <c r="J2734" t="s">
        <v>26</v>
      </c>
      <c r="K2734" t="s">
        <v>27</v>
      </c>
      <c r="L2734" t="b">
        <v>1</v>
      </c>
      <c r="M2734" t="s">
        <v>13318</v>
      </c>
      <c r="N2734" t="str">
        <f>"611/.018"</f>
        <v>611/.018</v>
      </c>
      <c r="P2734" t="b">
        <v>0</v>
      </c>
      <c r="Q2734" t="b">
        <v>0</v>
      </c>
      <c r="R2734" t="str">
        <f>"9781604568875"</f>
        <v>9781604568875</v>
      </c>
      <c r="S2734" t="str">
        <f>"9781607414087"</f>
        <v>9781607414087</v>
      </c>
      <c r="T2734">
        <v>430023214</v>
      </c>
    </row>
    <row r="2735" spans="1:20" x14ac:dyDescent="0.25">
      <c r="A2735">
        <v>281200</v>
      </c>
      <c r="B2735" t="s">
        <v>13319</v>
      </c>
      <c r="D2735" t="s">
        <v>2269</v>
      </c>
      <c r="E2735" t="s">
        <v>2269</v>
      </c>
      <c r="F2735">
        <v>2009</v>
      </c>
      <c r="G2735" t="s">
        <v>7758</v>
      </c>
      <c r="H2735" t="s">
        <v>13320</v>
      </c>
      <c r="I2735" t="s">
        <v>13321</v>
      </c>
      <c r="J2735" t="s">
        <v>26</v>
      </c>
      <c r="K2735" t="s">
        <v>27</v>
      </c>
      <c r="L2735" t="b">
        <v>1</v>
      </c>
      <c r="M2735" t="s">
        <v>13322</v>
      </c>
      <c r="N2735" t="str">
        <f>"616.85/882"</f>
        <v>616.85/882</v>
      </c>
      <c r="P2735" t="b">
        <v>0</v>
      </c>
      <c r="Q2735" t="b">
        <v>0</v>
      </c>
      <c r="R2735" t="str">
        <f>"9781604568615"</f>
        <v>9781604568615</v>
      </c>
      <c r="S2735" t="str">
        <f>"9781607414070"</f>
        <v>9781607414070</v>
      </c>
      <c r="T2735">
        <v>430024102</v>
      </c>
    </row>
    <row r="2736" spans="1:20" x14ac:dyDescent="0.25">
      <c r="A2736">
        <v>281198</v>
      </c>
      <c r="B2736" t="s">
        <v>13323</v>
      </c>
      <c r="D2736" t="s">
        <v>2269</v>
      </c>
      <c r="E2736" t="s">
        <v>2269</v>
      </c>
      <c r="F2736">
        <v>2009</v>
      </c>
      <c r="G2736" t="s">
        <v>9802</v>
      </c>
      <c r="H2736" t="s">
        <v>13324</v>
      </c>
      <c r="I2736" t="s">
        <v>13325</v>
      </c>
      <c r="J2736" t="s">
        <v>26</v>
      </c>
      <c r="K2736" t="s">
        <v>27</v>
      </c>
      <c r="L2736" t="b">
        <v>1</v>
      </c>
      <c r="M2736" t="s">
        <v>13326</v>
      </c>
      <c r="N2736" t="str">
        <f>"612.8/24"</f>
        <v>612.8/24</v>
      </c>
      <c r="P2736" t="b">
        <v>0</v>
      </c>
      <c r="Q2736" t="b">
        <v>0</v>
      </c>
      <c r="R2736" t="str">
        <f>"9781606921630"</f>
        <v>9781606921630</v>
      </c>
      <c r="S2736" t="str">
        <f>"9781607414056"</f>
        <v>9781607414056</v>
      </c>
      <c r="T2736">
        <v>430021281</v>
      </c>
    </row>
    <row r="2737" spans="1:20" x14ac:dyDescent="0.25">
      <c r="A2737">
        <v>281196</v>
      </c>
      <c r="B2737" t="s">
        <v>13327</v>
      </c>
      <c r="D2737" t="s">
        <v>2269</v>
      </c>
      <c r="E2737" t="s">
        <v>2269</v>
      </c>
      <c r="F2737">
        <v>2009</v>
      </c>
      <c r="G2737" t="s">
        <v>9553</v>
      </c>
      <c r="H2737" t="s">
        <v>13328</v>
      </c>
      <c r="I2737" t="s">
        <v>13329</v>
      </c>
      <c r="J2737" t="s">
        <v>26</v>
      </c>
      <c r="K2737" t="s">
        <v>27</v>
      </c>
      <c r="L2737" t="b">
        <v>1</v>
      </c>
      <c r="M2737" t="s">
        <v>13330</v>
      </c>
      <c r="N2737" t="str">
        <f>"620.1/98"</f>
        <v>620.1/98</v>
      </c>
      <c r="P2737" t="b">
        <v>0</v>
      </c>
      <c r="Q2737" t="b">
        <v>0</v>
      </c>
      <c r="R2737" t="str">
        <f>"9781604565232"</f>
        <v>9781604565232</v>
      </c>
      <c r="S2737" t="str">
        <f>"9781607414001"</f>
        <v>9781607414001</v>
      </c>
      <c r="T2737">
        <v>430012672</v>
      </c>
    </row>
    <row r="2738" spans="1:20" x14ac:dyDescent="0.25">
      <c r="A2738">
        <v>281192</v>
      </c>
      <c r="B2738" t="s">
        <v>13331</v>
      </c>
      <c r="D2738" t="s">
        <v>2269</v>
      </c>
      <c r="E2738" t="s">
        <v>2269</v>
      </c>
      <c r="F2738">
        <v>2009</v>
      </c>
      <c r="G2738" t="s">
        <v>10740</v>
      </c>
      <c r="H2738" t="s">
        <v>13332</v>
      </c>
      <c r="I2738" t="s">
        <v>13333</v>
      </c>
      <c r="J2738" t="s">
        <v>26</v>
      </c>
      <c r="K2738" t="s">
        <v>27</v>
      </c>
      <c r="L2738" t="b">
        <v>1</v>
      </c>
      <c r="M2738" t="s">
        <v>13334</v>
      </c>
      <c r="N2738" t="str">
        <f>"616.02774"</f>
        <v>616.02774</v>
      </c>
      <c r="P2738" t="b">
        <v>0</v>
      </c>
      <c r="R2738" t="str">
        <f>"9781606929179"</f>
        <v>9781606929179</v>
      </c>
      <c r="S2738" t="str">
        <f>"9781607413912"</f>
        <v>9781607413912</v>
      </c>
      <c r="T2738">
        <v>429999682</v>
      </c>
    </row>
    <row r="2739" spans="1:20" x14ac:dyDescent="0.25">
      <c r="A2739">
        <v>281191</v>
      </c>
      <c r="B2739" t="s">
        <v>13335</v>
      </c>
      <c r="D2739" t="s">
        <v>2269</v>
      </c>
      <c r="E2739" t="s">
        <v>2269</v>
      </c>
      <c r="F2739">
        <v>2009</v>
      </c>
      <c r="G2739" t="s">
        <v>13336</v>
      </c>
      <c r="H2739" t="s">
        <v>13337</v>
      </c>
      <c r="I2739" t="s">
        <v>13338</v>
      </c>
      <c r="J2739" t="s">
        <v>26</v>
      </c>
      <c r="K2739" t="s">
        <v>27</v>
      </c>
      <c r="L2739" t="b">
        <v>1</v>
      </c>
      <c r="M2739" t="s">
        <v>13339</v>
      </c>
      <c r="N2739" t="str">
        <f>"531.385"</f>
        <v>531.385</v>
      </c>
      <c r="P2739" t="b">
        <v>0</v>
      </c>
      <c r="Q2739" t="b">
        <v>0</v>
      </c>
      <c r="R2739" t="str">
        <f>"9781606924686"</f>
        <v>9781606924686</v>
      </c>
      <c r="S2739" t="str">
        <f>"9781607412786"</f>
        <v>9781607412786</v>
      </c>
      <c r="T2739">
        <v>429919528</v>
      </c>
    </row>
    <row r="2740" spans="1:20" x14ac:dyDescent="0.25">
      <c r="A2740">
        <v>281189</v>
      </c>
      <c r="B2740" t="s">
        <v>13340</v>
      </c>
      <c r="C2740" t="s">
        <v>13341</v>
      </c>
      <c r="D2740" t="s">
        <v>2269</v>
      </c>
      <c r="E2740" t="s">
        <v>2269</v>
      </c>
      <c r="F2740">
        <v>2009</v>
      </c>
      <c r="G2740" t="s">
        <v>9050</v>
      </c>
      <c r="H2740" t="s">
        <v>13342</v>
      </c>
      <c r="I2740" t="s">
        <v>13343</v>
      </c>
      <c r="J2740" t="s">
        <v>26</v>
      </c>
      <c r="K2740" t="s">
        <v>27</v>
      </c>
      <c r="L2740" t="b">
        <v>1</v>
      </c>
      <c r="M2740" t="s">
        <v>13344</v>
      </c>
      <c r="N2740" t="str">
        <f>"547/.7"</f>
        <v>547/.7</v>
      </c>
      <c r="P2740" t="b">
        <v>0</v>
      </c>
      <c r="Q2740" t="b">
        <v>0</v>
      </c>
      <c r="R2740" t="str">
        <f>"9781604568776"</f>
        <v>9781604568776</v>
      </c>
      <c r="S2740" t="str">
        <f>"9781607412724"</f>
        <v>9781607412724</v>
      </c>
      <c r="T2740">
        <v>429915143</v>
      </c>
    </row>
    <row r="2741" spans="1:20" x14ac:dyDescent="0.25">
      <c r="A2741">
        <v>281187</v>
      </c>
      <c r="B2741" t="s">
        <v>13345</v>
      </c>
      <c r="C2741" t="s">
        <v>13346</v>
      </c>
      <c r="D2741" t="s">
        <v>2269</v>
      </c>
      <c r="E2741" t="s">
        <v>2269</v>
      </c>
      <c r="F2741">
        <v>2009</v>
      </c>
      <c r="G2741" t="s">
        <v>5889</v>
      </c>
      <c r="H2741" t="s">
        <v>13347</v>
      </c>
      <c r="I2741" t="s">
        <v>13348</v>
      </c>
      <c r="J2741" t="s">
        <v>26</v>
      </c>
      <c r="K2741" t="s">
        <v>27</v>
      </c>
      <c r="L2741" t="b">
        <v>1</v>
      </c>
      <c r="M2741" t="s">
        <v>13349</v>
      </c>
      <c r="N2741" t="str">
        <f>"362.196/8581"</f>
        <v>362.196/8581</v>
      </c>
      <c r="P2741" t="b">
        <v>0</v>
      </c>
      <c r="Q2741" t="b">
        <v>0</v>
      </c>
      <c r="R2741" t="str">
        <f>"9781604569483"</f>
        <v>9781604569483</v>
      </c>
      <c r="S2741" t="str">
        <f>"9781607412151"</f>
        <v>9781607412151</v>
      </c>
      <c r="T2741">
        <v>429917358</v>
      </c>
    </row>
    <row r="2742" spans="1:20" x14ac:dyDescent="0.25">
      <c r="A2742">
        <v>281186</v>
      </c>
      <c r="B2742" t="s">
        <v>13350</v>
      </c>
      <c r="D2742" t="s">
        <v>2269</v>
      </c>
      <c r="E2742" t="s">
        <v>2269</v>
      </c>
      <c r="F2742">
        <v>2009</v>
      </c>
      <c r="G2742" t="s">
        <v>11593</v>
      </c>
      <c r="H2742" t="s">
        <v>13351</v>
      </c>
      <c r="I2742" t="s">
        <v>13352</v>
      </c>
      <c r="J2742" t="s">
        <v>26</v>
      </c>
      <c r="K2742" t="s">
        <v>27</v>
      </c>
      <c r="L2742" t="b">
        <v>1</v>
      </c>
      <c r="M2742" t="s">
        <v>13353</v>
      </c>
      <c r="N2742" t="str">
        <f>"610.28"</f>
        <v>610.28</v>
      </c>
      <c r="P2742" t="b">
        <v>0</v>
      </c>
      <c r="Q2742" t="b">
        <v>0</v>
      </c>
      <c r="R2742" t="str">
        <f>"9781606920800"</f>
        <v>9781606920800</v>
      </c>
      <c r="S2742" t="str">
        <f>"9781607412120"</f>
        <v>9781607412120</v>
      </c>
      <c r="T2742">
        <v>429917339</v>
      </c>
    </row>
    <row r="2743" spans="1:20" x14ac:dyDescent="0.25">
      <c r="A2743">
        <v>281184</v>
      </c>
      <c r="B2743" t="s">
        <v>13354</v>
      </c>
      <c r="D2743" t="s">
        <v>2269</v>
      </c>
      <c r="E2743" t="s">
        <v>2269</v>
      </c>
      <c r="F2743">
        <v>2009</v>
      </c>
      <c r="G2743" t="s">
        <v>11258</v>
      </c>
      <c r="H2743" t="s">
        <v>13355</v>
      </c>
      <c r="I2743" t="s">
        <v>13356</v>
      </c>
      <c r="J2743" t="s">
        <v>26</v>
      </c>
      <c r="K2743" t="s">
        <v>27</v>
      </c>
      <c r="L2743" t="b">
        <v>1</v>
      </c>
      <c r="M2743" t="s">
        <v>13357</v>
      </c>
      <c r="N2743" t="str">
        <f>"621.31/2429"</f>
        <v>621.31/2429</v>
      </c>
      <c r="P2743" t="b">
        <v>0</v>
      </c>
      <c r="Q2743" t="b">
        <v>0</v>
      </c>
      <c r="R2743" t="str">
        <f>"9781606920114"</f>
        <v>9781606920114</v>
      </c>
      <c r="S2743" t="str">
        <f>"9781607412052"</f>
        <v>9781607412052</v>
      </c>
      <c r="T2743">
        <v>429918136</v>
      </c>
    </row>
    <row r="2744" spans="1:20" x14ac:dyDescent="0.25">
      <c r="A2744">
        <v>281183</v>
      </c>
      <c r="B2744" t="s">
        <v>13358</v>
      </c>
      <c r="D2744" t="s">
        <v>2269</v>
      </c>
      <c r="E2744" t="s">
        <v>2269</v>
      </c>
      <c r="F2744">
        <v>2009</v>
      </c>
      <c r="G2744" t="s">
        <v>13359</v>
      </c>
      <c r="H2744" t="s">
        <v>13360</v>
      </c>
      <c r="I2744" t="s">
        <v>13361</v>
      </c>
      <c r="J2744" t="s">
        <v>26</v>
      </c>
      <c r="K2744" t="s">
        <v>27</v>
      </c>
      <c r="L2744" t="b">
        <v>1</v>
      </c>
      <c r="M2744" t="s">
        <v>13362</v>
      </c>
      <c r="N2744" t="str">
        <f>"631.5/87"</f>
        <v>631.5/87</v>
      </c>
      <c r="P2744" t="b">
        <v>0</v>
      </c>
      <c r="R2744" t="str">
        <f>"9781606920336"</f>
        <v>9781606920336</v>
      </c>
      <c r="S2744" t="str">
        <f>"9781607412045"</f>
        <v>9781607412045</v>
      </c>
      <c r="T2744">
        <v>429915033</v>
      </c>
    </row>
    <row r="2745" spans="1:20" x14ac:dyDescent="0.25">
      <c r="A2745">
        <v>281181</v>
      </c>
      <c r="B2745" t="s">
        <v>13363</v>
      </c>
      <c r="D2745" t="s">
        <v>2269</v>
      </c>
      <c r="E2745" t="s">
        <v>2269</v>
      </c>
      <c r="F2745">
        <v>2009</v>
      </c>
      <c r="G2745" t="s">
        <v>540</v>
      </c>
      <c r="H2745" t="s">
        <v>13364</v>
      </c>
      <c r="I2745" t="s">
        <v>13365</v>
      </c>
      <c r="J2745" t="s">
        <v>26</v>
      </c>
      <c r="K2745" t="s">
        <v>27</v>
      </c>
      <c r="L2745" t="b">
        <v>1</v>
      </c>
      <c r="M2745" t="s">
        <v>13366</v>
      </c>
      <c r="N2745" t="str">
        <f>"363.738/270973"</f>
        <v>363.738/270973</v>
      </c>
      <c r="P2745" t="b">
        <v>0</v>
      </c>
      <c r="Q2745" t="b">
        <v>0</v>
      </c>
      <c r="R2745" t="str">
        <f>"9781606921180"</f>
        <v>9781606921180</v>
      </c>
      <c r="S2745" t="str">
        <f>"9781607416777"</f>
        <v>9781607416777</v>
      </c>
      <c r="T2745">
        <v>429998242</v>
      </c>
    </row>
    <row r="2746" spans="1:20" x14ac:dyDescent="0.25">
      <c r="A2746">
        <v>281180</v>
      </c>
      <c r="B2746" t="s">
        <v>13367</v>
      </c>
      <c r="D2746" t="s">
        <v>2269</v>
      </c>
      <c r="E2746" t="s">
        <v>2269</v>
      </c>
      <c r="F2746">
        <v>2009</v>
      </c>
      <c r="G2746" t="s">
        <v>7627</v>
      </c>
      <c r="H2746" t="s">
        <v>13368</v>
      </c>
      <c r="I2746" t="s">
        <v>13369</v>
      </c>
      <c r="J2746" t="s">
        <v>26</v>
      </c>
      <c r="K2746" t="s">
        <v>27</v>
      </c>
      <c r="L2746" t="b">
        <v>1</v>
      </c>
      <c r="M2746" t="s">
        <v>13370</v>
      </c>
      <c r="N2746" t="str">
        <f>"612.8/2"</f>
        <v>612.8/2</v>
      </c>
      <c r="P2746" t="b">
        <v>0</v>
      </c>
      <c r="Q2746" t="b">
        <v>0</v>
      </c>
      <c r="R2746" t="str">
        <f>"9781606925935"</f>
        <v>9781606925935</v>
      </c>
      <c r="S2746" t="str">
        <f>"9781607416760"</f>
        <v>9781607416760</v>
      </c>
      <c r="T2746">
        <v>429997294</v>
      </c>
    </row>
    <row r="2747" spans="1:20" x14ac:dyDescent="0.25">
      <c r="A2747">
        <v>281179</v>
      </c>
      <c r="B2747" t="s">
        <v>13371</v>
      </c>
      <c r="D2747" t="s">
        <v>2269</v>
      </c>
      <c r="E2747" t="s">
        <v>9542</v>
      </c>
      <c r="F2747">
        <v>2009</v>
      </c>
      <c r="G2747" t="s">
        <v>6758</v>
      </c>
      <c r="H2747" t="s">
        <v>13372</v>
      </c>
      <c r="I2747" t="s">
        <v>13373</v>
      </c>
      <c r="J2747" t="s">
        <v>26</v>
      </c>
      <c r="K2747" t="s">
        <v>27</v>
      </c>
      <c r="L2747" t="b">
        <v>1</v>
      </c>
      <c r="M2747" t="s">
        <v>13374</v>
      </c>
      <c r="N2747" t="str">
        <f>"621.3815"</f>
        <v>621.3815</v>
      </c>
      <c r="P2747" t="b">
        <v>0</v>
      </c>
      <c r="R2747" t="str">
        <f>"9781604564518"</f>
        <v>9781604564518</v>
      </c>
      <c r="S2747" t="str">
        <f>"9781607416753"</f>
        <v>9781607416753</v>
      </c>
      <c r="T2747">
        <v>429997761</v>
      </c>
    </row>
    <row r="2748" spans="1:20" x14ac:dyDescent="0.25">
      <c r="A2748">
        <v>281178</v>
      </c>
      <c r="B2748" t="s">
        <v>13375</v>
      </c>
      <c r="D2748" t="s">
        <v>2269</v>
      </c>
      <c r="E2748" t="s">
        <v>2269</v>
      </c>
      <c r="F2748">
        <v>2009</v>
      </c>
      <c r="G2748" t="s">
        <v>7374</v>
      </c>
      <c r="H2748" t="s">
        <v>13376</v>
      </c>
      <c r="I2748" t="s">
        <v>13377</v>
      </c>
      <c r="J2748" t="s">
        <v>26</v>
      </c>
      <c r="K2748" t="s">
        <v>27</v>
      </c>
      <c r="L2748" t="b">
        <v>1</v>
      </c>
      <c r="M2748" t="s">
        <v>10126</v>
      </c>
      <c r="N2748" t="str">
        <f>"541/.224"</f>
        <v>541/.224</v>
      </c>
      <c r="P2748" t="b">
        <v>0</v>
      </c>
      <c r="R2748" t="str">
        <f>"9781604569377"</f>
        <v>9781604569377</v>
      </c>
      <c r="S2748" t="str">
        <f>"9781607416746"</f>
        <v>9781607416746</v>
      </c>
      <c r="T2748">
        <v>429992308</v>
      </c>
    </row>
    <row r="2749" spans="1:20" x14ac:dyDescent="0.25">
      <c r="A2749">
        <v>281175</v>
      </c>
      <c r="B2749" t="s">
        <v>13378</v>
      </c>
      <c r="D2749" t="s">
        <v>2269</v>
      </c>
      <c r="E2749" t="s">
        <v>2269</v>
      </c>
      <c r="F2749">
        <v>2009</v>
      </c>
      <c r="G2749" t="s">
        <v>8293</v>
      </c>
      <c r="H2749" t="s">
        <v>13379</v>
      </c>
      <c r="I2749" t="s">
        <v>13380</v>
      </c>
      <c r="J2749" t="s">
        <v>26</v>
      </c>
      <c r="K2749" t="s">
        <v>27</v>
      </c>
      <c r="L2749" t="b">
        <v>1</v>
      </c>
      <c r="M2749" t="s">
        <v>13381</v>
      </c>
      <c r="N2749" t="str">
        <f>"628.1/14"</f>
        <v>628.1/14</v>
      </c>
      <c r="P2749" t="b">
        <v>0</v>
      </c>
      <c r="Q2749" t="b">
        <v>0</v>
      </c>
      <c r="R2749" t="str">
        <f>"9781606922187"</f>
        <v>9781606922187</v>
      </c>
      <c r="S2749" t="str">
        <f>"9781607412090"</f>
        <v>9781607412090</v>
      </c>
      <c r="T2749">
        <v>435549266</v>
      </c>
    </row>
    <row r="2750" spans="1:20" x14ac:dyDescent="0.25">
      <c r="A2750">
        <v>281174</v>
      </c>
      <c r="B2750" t="s">
        <v>13382</v>
      </c>
      <c r="C2750" t="s">
        <v>10777</v>
      </c>
      <c r="D2750" t="s">
        <v>2269</v>
      </c>
      <c r="E2750" t="s">
        <v>2269</v>
      </c>
      <c r="F2750">
        <v>2009</v>
      </c>
      <c r="G2750" t="s">
        <v>8897</v>
      </c>
      <c r="H2750" t="s">
        <v>13383</v>
      </c>
      <c r="I2750" t="s">
        <v>13384</v>
      </c>
      <c r="J2750" t="s">
        <v>26</v>
      </c>
      <c r="K2750" t="s">
        <v>27</v>
      </c>
      <c r="L2750" t="b">
        <v>1</v>
      </c>
      <c r="M2750" t="s">
        <v>13385</v>
      </c>
      <c r="N2750" t="str">
        <f>"621.3815/2"</f>
        <v>621.3815/2</v>
      </c>
      <c r="P2750" t="b">
        <v>0</v>
      </c>
      <c r="Q2750" t="b">
        <v>0</v>
      </c>
      <c r="R2750" t="str">
        <f>"9781604569308"</f>
        <v>9781604569308</v>
      </c>
      <c r="S2750" t="str">
        <f>"9781607419327"</f>
        <v>9781607419327</v>
      </c>
      <c r="T2750">
        <v>429993927</v>
      </c>
    </row>
    <row r="2751" spans="1:20" x14ac:dyDescent="0.25">
      <c r="A2751">
        <v>281171</v>
      </c>
      <c r="B2751" t="s">
        <v>13386</v>
      </c>
      <c r="C2751" t="s">
        <v>13387</v>
      </c>
      <c r="D2751" t="s">
        <v>2269</v>
      </c>
      <c r="E2751" t="s">
        <v>2269</v>
      </c>
      <c r="F2751">
        <v>2009</v>
      </c>
      <c r="G2751" t="s">
        <v>9553</v>
      </c>
      <c r="H2751" t="s">
        <v>13388</v>
      </c>
      <c r="I2751" t="s">
        <v>13389</v>
      </c>
      <c r="J2751" t="s">
        <v>26</v>
      </c>
      <c r="K2751" t="s">
        <v>27</v>
      </c>
      <c r="L2751" t="b">
        <v>1</v>
      </c>
      <c r="M2751" t="s">
        <v>13390</v>
      </c>
      <c r="N2751" t="str">
        <f>"620.1/169"</f>
        <v>620.1/169</v>
      </c>
      <c r="P2751" t="b">
        <v>0</v>
      </c>
      <c r="Q2751" t="b">
        <v>0</v>
      </c>
      <c r="R2751" t="str">
        <f>"9781606924372"</f>
        <v>9781606924372</v>
      </c>
      <c r="S2751" t="str">
        <f>"9781607414018"</f>
        <v>9781607414018</v>
      </c>
      <c r="T2751">
        <v>429915015</v>
      </c>
    </row>
    <row r="2752" spans="1:20" x14ac:dyDescent="0.25">
      <c r="A2752">
        <v>281170</v>
      </c>
      <c r="B2752" t="s">
        <v>13391</v>
      </c>
      <c r="D2752" t="s">
        <v>2269</v>
      </c>
      <c r="E2752" t="s">
        <v>2269</v>
      </c>
      <c r="F2752">
        <v>2009</v>
      </c>
      <c r="G2752" t="s">
        <v>6648</v>
      </c>
      <c r="H2752" t="s">
        <v>13392</v>
      </c>
      <c r="I2752" t="s">
        <v>13393</v>
      </c>
      <c r="J2752" t="s">
        <v>26</v>
      </c>
      <c r="K2752" t="s">
        <v>27</v>
      </c>
      <c r="L2752" t="b">
        <v>1</v>
      </c>
      <c r="M2752" t="s">
        <v>13394</v>
      </c>
      <c r="N2752" t="str">
        <f>"515"</f>
        <v>515</v>
      </c>
      <c r="P2752" t="b">
        <v>0</v>
      </c>
      <c r="R2752" t="str">
        <f>"9781604563597"</f>
        <v>9781604563597</v>
      </c>
      <c r="S2752" t="str">
        <f>"9781607413998"</f>
        <v>9781607413998</v>
      </c>
      <c r="T2752">
        <v>429912873</v>
      </c>
    </row>
    <row r="2753" spans="1:20" x14ac:dyDescent="0.25">
      <c r="A2753">
        <v>281169</v>
      </c>
      <c r="B2753" t="s">
        <v>13395</v>
      </c>
      <c r="D2753" t="s">
        <v>2269</v>
      </c>
      <c r="E2753" t="s">
        <v>2269</v>
      </c>
      <c r="F2753">
        <v>2009</v>
      </c>
      <c r="G2753" t="s">
        <v>8669</v>
      </c>
      <c r="H2753" t="s">
        <v>13396</v>
      </c>
      <c r="I2753" t="s">
        <v>13397</v>
      </c>
      <c r="J2753" t="s">
        <v>26</v>
      </c>
      <c r="K2753" t="s">
        <v>27</v>
      </c>
      <c r="L2753" t="b">
        <v>1</v>
      </c>
      <c r="M2753" t="s">
        <v>13398</v>
      </c>
      <c r="N2753" t="str">
        <f>"616.99/481059"</f>
        <v>616.99/481059</v>
      </c>
      <c r="P2753" t="b">
        <v>0</v>
      </c>
      <c r="Q2753" t="b">
        <v>0</v>
      </c>
      <c r="R2753" t="str">
        <f>"9781606921364"</f>
        <v>9781606921364</v>
      </c>
      <c r="S2753" t="str">
        <f>"9781607413974"</f>
        <v>9781607413974</v>
      </c>
      <c r="T2753">
        <v>429917216</v>
      </c>
    </row>
    <row r="2754" spans="1:20" x14ac:dyDescent="0.25">
      <c r="A2754">
        <v>281168</v>
      </c>
      <c r="B2754" t="s">
        <v>13399</v>
      </c>
      <c r="D2754" t="s">
        <v>2269</v>
      </c>
      <c r="E2754" t="s">
        <v>2269</v>
      </c>
      <c r="F2754">
        <v>2009</v>
      </c>
      <c r="G2754" t="s">
        <v>303</v>
      </c>
      <c r="H2754" t="s">
        <v>13400</v>
      </c>
      <c r="I2754" t="s">
        <v>13401</v>
      </c>
      <c r="J2754" t="s">
        <v>26</v>
      </c>
      <c r="K2754" t="s">
        <v>27</v>
      </c>
      <c r="L2754" t="b">
        <v>1</v>
      </c>
      <c r="M2754" t="s">
        <v>13402</v>
      </c>
      <c r="N2754" t="str">
        <f>"668.9"</f>
        <v>668.9</v>
      </c>
      <c r="P2754" t="b">
        <v>0</v>
      </c>
      <c r="Q2754" t="b">
        <v>0</v>
      </c>
      <c r="R2754" t="str">
        <f>"9781606925362"</f>
        <v>9781606925362</v>
      </c>
      <c r="S2754" t="str">
        <f>"9781607413967"</f>
        <v>9781607413967</v>
      </c>
      <c r="T2754">
        <v>429911924</v>
      </c>
    </row>
    <row r="2755" spans="1:20" x14ac:dyDescent="0.25">
      <c r="A2755">
        <v>281167</v>
      </c>
      <c r="B2755" t="s">
        <v>13403</v>
      </c>
      <c r="D2755" t="s">
        <v>2269</v>
      </c>
      <c r="E2755" t="s">
        <v>2269</v>
      </c>
      <c r="F2755">
        <v>2009</v>
      </c>
      <c r="G2755" t="s">
        <v>8997</v>
      </c>
      <c r="H2755" t="s">
        <v>13404</v>
      </c>
      <c r="I2755" t="s">
        <v>13405</v>
      </c>
      <c r="J2755" t="s">
        <v>26</v>
      </c>
      <c r="K2755" t="s">
        <v>27</v>
      </c>
      <c r="L2755" t="b">
        <v>1</v>
      </c>
      <c r="M2755" t="s">
        <v>13406</v>
      </c>
      <c r="N2755" t="str">
        <f>"616.362"</f>
        <v>616.362</v>
      </c>
      <c r="P2755" t="b">
        <v>0</v>
      </c>
      <c r="Q2755" t="b">
        <v>0</v>
      </c>
      <c r="R2755" t="str">
        <f>"9781606924655"</f>
        <v>9781606924655</v>
      </c>
      <c r="S2755" t="str">
        <f>"9781607413905"</f>
        <v>9781607413905</v>
      </c>
      <c r="T2755">
        <v>429911879</v>
      </c>
    </row>
    <row r="2756" spans="1:20" x14ac:dyDescent="0.25">
      <c r="A2756">
        <v>281164</v>
      </c>
      <c r="B2756" t="s">
        <v>13407</v>
      </c>
      <c r="D2756" t="s">
        <v>2269</v>
      </c>
      <c r="E2756" t="s">
        <v>2269</v>
      </c>
      <c r="F2756">
        <v>2009</v>
      </c>
      <c r="G2756" t="s">
        <v>11258</v>
      </c>
      <c r="H2756" t="s">
        <v>13408</v>
      </c>
      <c r="I2756" t="s">
        <v>13409</v>
      </c>
      <c r="J2756" t="s">
        <v>26</v>
      </c>
      <c r="K2756" t="s">
        <v>27</v>
      </c>
      <c r="L2756" t="b">
        <v>1</v>
      </c>
      <c r="M2756" t="s">
        <v>13410</v>
      </c>
      <c r="N2756" t="str">
        <f>"621.31"</f>
        <v>621.31</v>
      </c>
      <c r="P2756" t="b">
        <v>0</v>
      </c>
      <c r="Q2756" t="b">
        <v>0</v>
      </c>
      <c r="R2756" t="str">
        <f>"9781606925430"</f>
        <v>9781606925430</v>
      </c>
      <c r="S2756" t="str">
        <f>"9781607412175"</f>
        <v>9781607412175</v>
      </c>
      <c r="T2756">
        <v>429910914</v>
      </c>
    </row>
    <row r="2757" spans="1:20" x14ac:dyDescent="0.25">
      <c r="A2757">
        <v>281163</v>
      </c>
      <c r="B2757" t="s">
        <v>13411</v>
      </c>
      <c r="C2757" t="s">
        <v>13412</v>
      </c>
      <c r="D2757" t="s">
        <v>2269</v>
      </c>
      <c r="E2757" t="s">
        <v>2269</v>
      </c>
      <c r="F2757">
        <v>2009</v>
      </c>
      <c r="G2757" t="s">
        <v>13413</v>
      </c>
      <c r="H2757" t="s">
        <v>13414</v>
      </c>
      <c r="I2757" t="s">
        <v>13415</v>
      </c>
      <c r="J2757" t="s">
        <v>26</v>
      </c>
      <c r="K2757" t="s">
        <v>27</v>
      </c>
      <c r="L2757" t="b">
        <v>1</v>
      </c>
      <c r="M2757" t="s">
        <v>13416</v>
      </c>
      <c r="N2757" t="str">
        <f>"362.4068"</f>
        <v>362.4068</v>
      </c>
      <c r="P2757" t="b">
        <v>0</v>
      </c>
      <c r="R2757" t="str">
        <f>"9781606922514"</f>
        <v>9781606922514</v>
      </c>
      <c r="S2757" t="str">
        <f>"9781607411888"</f>
        <v>9781607411888</v>
      </c>
      <c r="T2757">
        <v>429914907</v>
      </c>
    </row>
    <row r="2758" spans="1:20" x14ac:dyDescent="0.25">
      <c r="A2758">
        <v>281162</v>
      </c>
      <c r="B2758" t="s">
        <v>13417</v>
      </c>
      <c r="D2758" t="s">
        <v>2269</v>
      </c>
      <c r="E2758" t="s">
        <v>2269</v>
      </c>
      <c r="F2758">
        <v>2009</v>
      </c>
      <c r="G2758" t="s">
        <v>10740</v>
      </c>
      <c r="H2758" t="s">
        <v>13418</v>
      </c>
      <c r="I2758" t="s">
        <v>13333</v>
      </c>
      <c r="J2758" t="s">
        <v>26</v>
      </c>
      <c r="K2758" t="s">
        <v>27</v>
      </c>
      <c r="L2758" t="b">
        <v>1</v>
      </c>
      <c r="M2758" t="s">
        <v>13419</v>
      </c>
      <c r="N2758" t="str">
        <f>"616/.02774"</f>
        <v>616/.02774</v>
      </c>
      <c r="P2758" t="b">
        <v>0</v>
      </c>
      <c r="R2758" t="str">
        <f>"9781604563412"</f>
        <v>9781604563412</v>
      </c>
      <c r="S2758" t="str">
        <f>"9781607412137"</f>
        <v>9781607412137</v>
      </c>
      <c r="T2758">
        <v>429910894</v>
      </c>
    </row>
    <row r="2759" spans="1:20" x14ac:dyDescent="0.25">
      <c r="A2759">
        <v>281161</v>
      </c>
      <c r="B2759" t="s">
        <v>13420</v>
      </c>
      <c r="D2759" t="s">
        <v>2269</v>
      </c>
      <c r="E2759" t="s">
        <v>2269</v>
      </c>
      <c r="F2759">
        <v>2009</v>
      </c>
      <c r="G2759" t="s">
        <v>10706</v>
      </c>
      <c r="H2759" t="s">
        <v>13421</v>
      </c>
      <c r="I2759" t="s">
        <v>13422</v>
      </c>
      <c r="J2759" t="s">
        <v>26</v>
      </c>
      <c r="K2759" t="s">
        <v>27</v>
      </c>
      <c r="L2759" t="b">
        <v>1</v>
      </c>
      <c r="M2759" t="s">
        <v>10090</v>
      </c>
      <c r="N2759" t="str">
        <f>"616.85/2700835"</f>
        <v>616.85/2700835</v>
      </c>
      <c r="P2759" t="b">
        <v>0</v>
      </c>
      <c r="Q2759" t="b">
        <v>0</v>
      </c>
      <c r="R2759" t="str">
        <f>"9781606928516"</f>
        <v>9781606928516</v>
      </c>
      <c r="S2759" t="str">
        <f>"9781607412113"</f>
        <v>9781607412113</v>
      </c>
      <c r="T2759">
        <v>429910549</v>
      </c>
    </row>
    <row r="2760" spans="1:20" x14ac:dyDescent="0.25">
      <c r="A2760">
        <v>281157</v>
      </c>
      <c r="B2760" t="s">
        <v>13423</v>
      </c>
      <c r="D2760" t="s">
        <v>2269</v>
      </c>
      <c r="E2760" t="s">
        <v>2269</v>
      </c>
      <c r="F2760">
        <v>2009</v>
      </c>
      <c r="G2760" t="s">
        <v>355</v>
      </c>
      <c r="H2760" t="s">
        <v>13424</v>
      </c>
      <c r="I2760" t="s">
        <v>13425</v>
      </c>
      <c r="J2760" t="s">
        <v>26</v>
      </c>
      <c r="K2760" t="s">
        <v>27</v>
      </c>
      <c r="L2760" t="b">
        <v>1</v>
      </c>
      <c r="M2760" t="s">
        <v>13426</v>
      </c>
      <c r="N2760" t="str">
        <f>"673/.722"</f>
        <v>673/.722</v>
      </c>
      <c r="P2760" t="b">
        <v>0</v>
      </c>
      <c r="Q2760" t="b">
        <v>0</v>
      </c>
      <c r="R2760" t="str">
        <f>"9781604563955"</f>
        <v>9781604563955</v>
      </c>
      <c r="S2760" t="str">
        <f>"9781607412014"</f>
        <v>9781607412014</v>
      </c>
      <c r="T2760">
        <v>429910510</v>
      </c>
    </row>
    <row r="2761" spans="1:20" x14ac:dyDescent="0.25">
      <c r="A2761">
        <v>281156</v>
      </c>
      <c r="B2761" t="s">
        <v>13427</v>
      </c>
      <c r="D2761" t="s">
        <v>2269</v>
      </c>
      <c r="E2761" t="s">
        <v>2269</v>
      </c>
      <c r="F2761">
        <v>2009</v>
      </c>
      <c r="G2761" t="s">
        <v>13413</v>
      </c>
      <c r="H2761" t="s">
        <v>13428</v>
      </c>
      <c r="I2761" t="s">
        <v>13429</v>
      </c>
      <c r="J2761" t="s">
        <v>26</v>
      </c>
      <c r="K2761" t="s">
        <v>27</v>
      </c>
      <c r="L2761" t="b">
        <v>1</v>
      </c>
      <c r="M2761" t="s">
        <v>13416</v>
      </c>
      <c r="N2761" t="str">
        <f>"362.4"</f>
        <v>362.4</v>
      </c>
      <c r="P2761" t="b">
        <v>0</v>
      </c>
      <c r="Q2761" t="b">
        <v>0</v>
      </c>
      <c r="R2761" t="str">
        <f>"9781606922538"</f>
        <v>9781606922538</v>
      </c>
      <c r="S2761" t="str">
        <f>"9781607412007"</f>
        <v>9781607412007</v>
      </c>
      <c r="T2761">
        <v>429917743</v>
      </c>
    </row>
    <row r="2762" spans="1:20" x14ac:dyDescent="0.25">
      <c r="A2762">
        <v>281155</v>
      </c>
      <c r="B2762" t="s">
        <v>13430</v>
      </c>
      <c r="C2762" t="s">
        <v>13431</v>
      </c>
      <c r="D2762" t="s">
        <v>2269</v>
      </c>
      <c r="E2762" t="s">
        <v>2269</v>
      </c>
      <c r="F2762">
        <v>2009</v>
      </c>
      <c r="G2762" t="s">
        <v>1054</v>
      </c>
      <c r="H2762" t="s">
        <v>13432</v>
      </c>
      <c r="I2762" t="s">
        <v>13433</v>
      </c>
      <c r="J2762" t="s">
        <v>26</v>
      </c>
      <c r="K2762" t="s">
        <v>27</v>
      </c>
      <c r="L2762" t="b">
        <v>1</v>
      </c>
      <c r="M2762" t="s">
        <v>13434</v>
      </c>
      <c r="N2762" t="str">
        <f>"616.1"</f>
        <v>616.1</v>
      </c>
      <c r="O2762" t="s">
        <v>8996</v>
      </c>
      <c r="P2762" t="b">
        <v>0</v>
      </c>
      <c r="Q2762" t="b">
        <v>0</v>
      </c>
      <c r="R2762" t="str">
        <f>"9781604568714"</f>
        <v>9781604568714</v>
      </c>
      <c r="S2762" t="str">
        <f>"9781607411895"</f>
        <v>9781607411895</v>
      </c>
      <c r="T2762">
        <v>429917158</v>
      </c>
    </row>
    <row r="2763" spans="1:20" x14ac:dyDescent="0.25">
      <c r="A2763">
        <v>280780</v>
      </c>
      <c r="B2763" t="s">
        <v>13435</v>
      </c>
      <c r="D2763" t="s">
        <v>131</v>
      </c>
      <c r="E2763" t="s">
        <v>2389</v>
      </c>
      <c r="F2763">
        <v>2008</v>
      </c>
      <c r="G2763" t="s">
        <v>4378</v>
      </c>
      <c r="H2763" t="s">
        <v>13436</v>
      </c>
      <c r="J2763" t="s">
        <v>26</v>
      </c>
      <c r="K2763" t="s">
        <v>86</v>
      </c>
      <c r="L2763" t="b">
        <v>1</v>
      </c>
      <c r="M2763" t="s">
        <v>4410</v>
      </c>
      <c r="N2763" t="str">
        <f>"194"</f>
        <v>194</v>
      </c>
      <c r="O2763" t="s">
        <v>2426</v>
      </c>
      <c r="P2763" t="b">
        <v>0</v>
      </c>
      <c r="R2763" t="str">
        <f>"9780823229581"</f>
        <v>9780823229581</v>
      </c>
      <c r="S2763" t="str">
        <f>"9780823237555"</f>
        <v>9780823237555</v>
      </c>
      <c r="T2763">
        <v>915134741</v>
      </c>
    </row>
    <row r="2764" spans="1:20" x14ac:dyDescent="0.25">
      <c r="A2764">
        <v>280772</v>
      </c>
      <c r="B2764" t="s">
        <v>13437</v>
      </c>
      <c r="C2764" t="s">
        <v>13438</v>
      </c>
      <c r="D2764" t="s">
        <v>131</v>
      </c>
      <c r="E2764" t="s">
        <v>2389</v>
      </c>
      <c r="F2764">
        <v>2008</v>
      </c>
      <c r="G2764" t="s">
        <v>2417</v>
      </c>
      <c r="H2764" t="s">
        <v>13439</v>
      </c>
      <c r="I2764" t="s">
        <v>13440</v>
      </c>
      <c r="J2764" t="s">
        <v>26</v>
      </c>
      <c r="K2764" t="s">
        <v>86</v>
      </c>
      <c r="L2764" t="b">
        <v>1</v>
      </c>
      <c r="M2764" t="s">
        <v>13441</v>
      </c>
      <c r="N2764" t="str">
        <f>"813/.087209"</f>
        <v>813/.087209</v>
      </c>
      <c r="P2764" t="b">
        <v>0</v>
      </c>
      <c r="R2764" t="str">
        <f>"9780823229857"</f>
        <v>9780823229857</v>
      </c>
      <c r="S2764" t="str">
        <f>"9780823238200"</f>
        <v>9780823238200</v>
      </c>
      <c r="T2764">
        <v>915134544</v>
      </c>
    </row>
    <row r="2765" spans="1:20" x14ac:dyDescent="0.25">
      <c r="A2765">
        <v>280766</v>
      </c>
      <c r="B2765" t="s">
        <v>13442</v>
      </c>
      <c r="D2765" t="s">
        <v>131</v>
      </c>
      <c r="E2765" t="s">
        <v>2389</v>
      </c>
      <c r="F2765">
        <v>2008</v>
      </c>
      <c r="G2765" t="s">
        <v>4378</v>
      </c>
      <c r="H2765" t="s">
        <v>13443</v>
      </c>
      <c r="I2765" t="s">
        <v>13444</v>
      </c>
      <c r="J2765" t="s">
        <v>26</v>
      </c>
      <c r="K2765" t="s">
        <v>86</v>
      </c>
      <c r="L2765" t="b">
        <v>1</v>
      </c>
      <c r="M2765" t="s">
        <v>13445</v>
      </c>
      <c r="N2765" t="str">
        <f>"128/.6"</f>
        <v>128/.6</v>
      </c>
      <c r="O2765" t="s">
        <v>2426</v>
      </c>
      <c r="P2765" t="b">
        <v>0</v>
      </c>
      <c r="R2765" t="str">
        <f>"9780823229611"</f>
        <v>9780823229611</v>
      </c>
      <c r="S2765" t="str">
        <f>"9780823237517"</f>
        <v>9780823237517</v>
      </c>
      <c r="T2765">
        <v>647126740</v>
      </c>
    </row>
    <row r="2766" spans="1:20" x14ac:dyDescent="0.25">
      <c r="A2766">
        <v>280288</v>
      </c>
      <c r="B2766" t="s">
        <v>12101</v>
      </c>
      <c r="D2766" t="s">
        <v>8514</v>
      </c>
      <c r="E2766" t="s">
        <v>8515</v>
      </c>
      <c r="F2766">
        <v>2009</v>
      </c>
      <c r="G2766" t="s">
        <v>12102</v>
      </c>
      <c r="H2766" t="s">
        <v>13446</v>
      </c>
      <c r="I2766" t="s">
        <v>12104</v>
      </c>
      <c r="J2766" t="s">
        <v>26</v>
      </c>
      <c r="K2766" t="s">
        <v>27</v>
      </c>
      <c r="L2766" t="b">
        <v>1</v>
      </c>
      <c r="M2766" t="s">
        <v>13447</v>
      </c>
      <c r="N2766" t="str">
        <f>"530.11"</f>
        <v>530.11</v>
      </c>
      <c r="O2766" t="s">
        <v>12101</v>
      </c>
      <c r="P2766" t="b">
        <v>0</v>
      </c>
      <c r="Q2766" t="b">
        <v>0</v>
      </c>
      <c r="R2766" t="str">
        <f>"9780973291186"</f>
        <v>9780973291186</v>
      </c>
      <c r="S2766" t="str">
        <f>"9781441615800"</f>
        <v>9781441615800</v>
      </c>
      <c r="T2766">
        <v>429508762</v>
      </c>
    </row>
    <row r="2767" spans="1:20" x14ac:dyDescent="0.25">
      <c r="A2767">
        <v>279135</v>
      </c>
      <c r="B2767" t="s">
        <v>13448</v>
      </c>
      <c r="C2767" t="s">
        <v>13449</v>
      </c>
      <c r="D2767" t="s">
        <v>123</v>
      </c>
      <c r="E2767" t="s">
        <v>10629</v>
      </c>
      <c r="F2767">
        <v>2008</v>
      </c>
      <c r="G2767" t="s">
        <v>11384</v>
      </c>
      <c r="H2767" t="s">
        <v>13450</v>
      </c>
      <c r="I2767" t="s">
        <v>13451</v>
      </c>
      <c r="J2767" t="s">
        <v>26</v>
      </c>
      <c r="K2767" t="s">
        <v>48</v>
      </c>
      <c r="L2767" t="b">
        <v>1</v>
      </c>
      <c r="M2767" t="s">
        <v>11387</v>
      </c>
      <c r="N2767" t="str">
        <f>"158.1"</f>
        <v>158.1</v>
      </c>
      <c r="P2767" t="b">
        <v>0</v>
      </c>
      <c r="R2767" t="str">
        <f>"9781844091232"</f>
        <v>9781844091232</v>
      </c>
      <c r="S2767" t="str">
        <f>"9781844093014"</f>
        <v>9781844093014</v>
      </c>
      <c r="T2767">
        <v>409135071</v>
      </c>
    </row>
    <row r="2768" spans="1:20" x14ac:dyDescent="0.25">
      <c r="A2768">
        <v>279125</v>
      </c>
      <c r="B2768" t="s">
        <v>13452</v>
      </c>
      <c r="C2768" t="s">
        <v>13453</v>
      </c>
      <c r="D2768" t="s">
        <v>123</v>
      </c>
      <c r="E2768" t="s">
        <v>10629</v>
      </c>
      <c r="F2768">
        <v>2007</v>
      </c>
      <c r="G2768" t="s">
        <v>4811</v>
      </c>
      <c r="H2768" t="s">
        <v>13454</v>
      </c>
      <c r="I2768" t="s">
        <v>13455</v>
      </c>
      <c r="J2768" t="s">
        <v>26</v>
      </c>
      <c r="K2768" t="s">
        <v>48</v>
      </c>
      <c r="L2768" t="b">
        <v>1</v>
      </c>
      <c r="M2768" t="s">
        <v>13456</v>
      </c>
      <c r="N2768" t="str">
        <f>"299.7"</f>
        <v>299.7</v>
      </c>
      <c r="P2768" t="b">
        <v>0</v>
      </c>
      <c r="R2768" t="str">
        <f>"9781844090952"</f>
        <v>9781844090952</v>
      </c>
      <c r="S2768" t="str">
        <f>"9781844093045"</f>
        <v>9781844093045</v>
      </c>
      <c r="T2768">
        <v>499753430</v>
      </c>
    </row>
    <row r="2769" spans="1:20" x14ac:dyDescent="0.25">
      <c r="A2769">
        <v>278776</v>
      </c>
      <c r="B2769" t="s">
        <v>13457</v>
      </c>
      <c r="C2769" t="s">
        <v>13458</v>
      </c>
      <c r="D2769" t="s">
        <v>203</v>
      </c>
      <c r="E2769" t="s">
        <v>1109</v>
      </c>
      <c r="F2769">
        <v>2009</v>
      </c>
      <c r="G2769" t="s">
        <v>2000</v>
      </c>
      <c r="H2769" t="s">
        <v>13459</v>
      </c>
      <c r="I2769" t="s">
        <v>13460</v>
      </c>
      <c r="J2769" t="s">
        <v>26</v>
      </c>
      <c r="K2769" t="s">
        <v>86</v>
      </c>
      <c r="L2769" t="b">
        <v>1</v>
      </c>
      <c r="M2769" t="s">
        <v>13461</v>
      </c>
      <c r="N2769" t="str">
        <f>"618.92/89"</f>
        <v>618.92/89</v>
      </c>
      <c r="P2769" t="b">
        <v>0</v>
      </c>
      <c r="R2769" t="str">
        <f>"9781904671732"</f>
        <v>9781904671732</v>
      </c>
      <c r="S2769" t="str">
        <f>"9781904671794"</f>
        <v>9781904671794</v>
      </c>
      <c r="T2769">
        <v>437132953</v>
      </c>
    </row>
    <row r="2770" spans="1:20" x14ac:dyDescent="0.25">
      <c r="A2770">
        <v>278775</v>
      </c>
      <c r="B2770" t="s">
        <v>13462</v>
      </c>
      <c r="D2770" t="s">
        <v>203</v>
      </c>
      <c r="E2770" t="s">
        <v>1109</v>
      </c>
      <c r="F2770">
        <v>2009</v>
      </c>
      <c r="G2770" t="s">
        <v>1110</v>
      </c>
      <c r="H2770" t="s">
        <v>13463</v>
      </c>
      <c r="I2770" t="s">
        <v>13464</v>
      </c>
      <c r="J2770" t="s">
        <v>26</v>
      </c>
      <c r="K2770" t="s">
        <v>86</v>
      </c>
      <c r="L2770" t="b">
        <v>1</v>
      </c>
      <c r="M2770" t="s">
        <v>13465</v>
      </c>
      <c r="N2770" t="str">
        <f>"616.89"</f>
        <v>616.89</v>
      </c>
      <c r="P2770" t="b">
        <v>0</v>
      </c>
      <c r="R2770" t="str">
        <f>"9781904671718"</f>
        <v>9781904671718</v>
      </c>
      <c r="S2770" t="str">
        <f>"9781904671725"</f>
        <v>9781904671725</v>
      </c>
      <c r="T2770">
        <v>436921760</v>
      </c>
    </row>
    <row r="2771" spans="1:20" x14ac:dyDescent="0.25">
      <c r="A2771">
        <v>278774</v>
      </c>
      <c r="B2771" t="s">
        <v>13466</v>
      </c>
      <c r="D2771" t="s">
        <v>203</v>
      </c>
      <c r="E2771" t="s">
        <v>1109</v>
      </c>
      <c r="F2771">
        <v>2009</v>
      </c>
      <c r="G2771" t="s">
        <v>1110</v>
      </c>
      <c r="H2771" t="s">
        <v>13467</v>
      </c>
      <c r="I2771" t="s">
        <v>13468</v>
      </c>
      <c r="J2771" t="s">
        <v>26</v>
      </c>
      <c r="K2771" t="s">
        <v>86</v>
      </c>
      <c r="L2771" t="b">
        <v>1</v>
      </c>
      <c r="M2771" t="s">
        <v>13469</v>
      </c>
      <c r="N2771" t="str">
        <f>"616.89"</f>
        <v>616.89</v>
      </c>
      <c r="P2771" t="b">
        <v>0</v>
      </c>
      <c r="R2771" t="str">
        <f>"9781904671749"</f>
        <v>9781904671749</v>
      </c>
      <c r="S2771" t="str">
        <f>"9781904671787"</f>
        <v>9781904671787</v>
      </c>
      <c r="T2771">
        <v>436921738</v>
      </c>
    </row>
    <row r="2772" spans="1:20" x14ac:dyDescent="0.25">
      <c r="A2772">
        <v>278360</v>
      </c>
      <c r="B2772" t="s">
        <v>13470</v>
      </c>
      <c r="C2772" t="s">
        <v>13471</v>
      </c>
      <c r="D2772" t="s">
        <v>13179</v>
      </c>
      <c r="E2772" t="s">
        <v>13180</v>
      </c>
      <c r="F2772">
        <v>2009</v>
      </c>
      <c r="G2772" t="s">
        <v>13472</v>
      </c>
      <c r="H2772" t="s">
        <v>13473</v>
      </c>
      <c r="I2772" t="s">
        <v>13474</v>
      </c>
      <c r="J2772" t="s">
        <v>26</v>
      </c>
      <c r="K2772" t="s">
        <v>27</v>
      </c>
      <c r="L2772" t="b">
        <v>1</v>
      </c>
      <c r="M2772" t="s">
        <v>13475</v>
      </c>
      <c r="N2772" t="str">
        <f>"332.10954"</f>
        <v>332.10954</v>
      </c>
      <c r="P2772" t="b">
        <v>0</v>
      </c>
      <c r="R2772" t="str">
        <f>"9788178299501"</f>
        <v>9788178299501</v>
      </c>
      <c r="S2772" t="str">
        <f>"9788132100911"</f>
        <v>9788132100911</v>
      </c>
      <c r="T2772">
        <v>455844567</v>
      </c>
    </row>
    <row r="2773" spans="1:20" x14ac:dyDescent="0.25">
      <c r="A2773">
        <v>278298</v>
      </c>
      <c r="B2773" t="s">
        <v>13476</v>
      </c>
      <c r="C2773" t="s">
        <v>13477</v>
      </c>
      <c r="D2773" t="s">
        <v>13179</v>
      </c>
      <c r="E2773" t="s">
        <v>13180</v>
      </c>
      <c r="F2773">
        <v>2008</v>
      </c>
      <c r="G2773" t="s">
        <v>172</v>
      </c>
      <c r="H2773" t="s">
        <v>13478</v>
      </c>
      <c r="I2773" t="s">
        <v>13479</v>
      </c>
      <c r="J2773" t="s">
        <v>26</v>
      </c>
      <c r="K2773" t="s">
        <v>27</v>
      </c>
      <c r="L2773" t="b">
        <v>1</v>
      </c>
      <c r="M2773" t="s">
        <v>13480</v>
      </c>
      <c r="N2773" t="str">
        <f>"658.4/06"</f>
        <v>658.4/06</v>
      </c>
      <c r="P2773" t="b">
        <v>0</v>
      </c>
      <c r="R2773" t="str">
        <f>"9788178298474"</f>
        <v>9788178298474</v>
      </c>
      <c r="S2773" t="str">
        <f>"9788132100430"</f>
        <v>9788132100430</v>
      </c>
      <c r="T2773">
        <v>501180386</v>
      </c>
    </row>
    <row r="2774" spans="1:20" x14ac:dyDescent="0.25">
      <c r="A2774">
        <v>278147</v>
      </c>
      <c r="B2774" t="s">
        <v>13481</v>
      </c>
      <c r="C2774" t="s">
        <v>13482</v>
      </c>
      <c r="D2774" t="s">
        <v>13179</v>
      </c>
      <c r="E2774" t="s">
        <v>13180</v>
      </c>
      <c r="F2774">
        <v>2004</v>
      </c>
      <c r="G2774" t="s">
        <v>2055</v>
      </c>
      <c r="H2774" t="s">
        <v>13483</v>
      </c>
      <c r="J2774" t="s">
        <v>26</v>
      </c>
      <c r="K2774" t="s">
        <v>27</v>
      </c>
      <c r="L2774" t="b">
        <v>1</v>
      </c>
      <c r="M2774" t="s">
        <v>13484</v>
      </c>
      <c r="N2774" t="str">
        <f>"338.954/83"</f>
        <v>338.954/83</v>
      </c>
      <c r="P2774" t="b">
        <v>0</v>
      </c>
      <c r="R2774" t="str">
        <f>"9780761932932"</f>
        <v>9780761932932</v>
      </c>
      <c r="S2774" t="str">
        <f>"9788132101932"</f>
        <v>9788132101932</v>
      </c>
      <c r="T2774">
        <v>392312657</v>
      </c>
    </row>
    <row r="2775" spans="1:20" x14ac:dyDescent="0.25">
      <c r="A2775">
        <v>277846</v>
      </c>
      <c r="B2775" t="s">
        <v>13485</v>
      </c>
      <c r="C2775" t="s">
        <v>13486</v>
      </c>
      <c r="D2775" t="s">
        <v>22</v>
      </c>
      <c r="E2775" t="s">
        <v>22</v>
      </c>
      <c r="F2775">
        <v>2008</v>
      </c>
      <c r="G2775" t="s">
        <v>182</v>
      </c>
      <c r="H2775" t="s">
        <v>13487</v>
      </c>
      <c r="J2775" t="s">
        <v>26</v>
      </c>
      <c r="K2775" t="s">
        <v>27</v>
      </c>
      <c r="L2775" t="b">
        <v>1</v>
      </c>
      <c r="M2775" t="s">
        <v>13488</v>
      </c>
      <c r="N2775" t="str">
        <f>"949.2"</f>
        <v>949.2</v>
      </c>
      <c r="P2775" t="b">
        <v>0</v>
      </c>
      <c r="Q2775" t="b">
        <v>0</v>
      </c>
      <c r="R2775" t="str">
        <f>"9789089640390"</f>
        <v>9789089640390</v>
      </c>
      <c r="S2775" t="str">
        <f>"9789048506149"</f>
        <v>9789048506149</v>
      </c>
      <c r="T2775">
        <v>391963545</v>
      </c>
    </row>
    <row r="2776" spans="1:20" x14ac:dyDescent="0.25">
      <c r="A2776">
        <v>277622</v>
      </c>
      <c r="B2776" t="s">
        <v>13489</v>
      </c>
      <c r="C2776" t="s">
        <v>13490</v>
      </c>
      <c r="D2776" t="s">
        <v>5828</v>
      </c>
      <c r="E2776" t="s">
        <v>12469</v>
      </c>
      <c r="F2776">
        <v>2000</v>
      </c>
      <c r="G2776" t="s">
        <v>4483</v>
      </c>
      <c r="H2776" t="s">
        <v>13491</v>
      </c>
      <c r="J2776" t="s">
        <v>26</v>
      </c>
      <c r="K2776" t="s">
        <v>27</v>
      </c>
      <c r="L2776" t="b">
        <v>1</v>
      </c>
      <c r="M2776" t="s">
        <v>13492</v>
      </c>
      <c r="N2776" t="str">
        <f>"193"</f>
        <v>193</v>
      </c>
      <c r="O2776" t="s">
        <v>13493</v>
      </c>
      <c r="P2776" t="b">
        <v>0</v>
      </c>
      <c r="R2776" t="str">
        <f>"9780192854100"</f>
        <v>9780192854100</v>
      </c>
      <c r="S2776" t="str">
        <f>"9780191540370"</f>
        <v>9780191540370</v>
      </c>
      <c r="T2776">
        <v>428972966</v>
      </c>
    </row>
    <row r="2777" spans="1:20" x14ac:dyDescent="0.25">
      <c r="A2777">
        <v>276804</v>
      </c>
      <c r="B2777" t="s">
        <v>13494</v>
      </c>
      <c r="D2777" t="s">
        <v>12141</v>
      </c>
      <c r="E2777" t="s">
        <v>12141</v>
      </c>
      <c r="F2777">
        <v>2009</v>
      </c>
      <c r="G2777" t="s">
        <v>328</v>
      </c>
      <c r="H2777" t="s">
        <v>13495</v>
      </c>
      <c r="I2777" t="s">
        <v>13496</v>
      </c>
      <c r="J2777" t="s">
        <v>26</v>
      </c>
      <c r="K2777" t="s">
        <v>27</v>
      </c>
      <c r="L2777" t="b">
        <v>1</v>
      </c>
      <c r="N2777" t="str">
        <f>"624.023"</f>
        <v>624.023</v>
      </c>
      <c r="O2777" t="s">
        <v>12145</v>
      </c>
      <c r="P2777" t="b">
        <v>0</v>
      </c>
      <c r="R2777" t="str">
        <f>"9781585116478"</f>
        <v>9781585116478</v>
      </c>
      <c r="S2777" t="str">
        <f>"9781441613035"</f>
        <v>9781441613035</v>
      </c>
      <c r="T2777">
        <v>401389261</v>
      </c>
    </row>
    <row r="2778" spans="1:20" x14ac:dyDescent="0.25">
      <c r="A2778">
        <v>276803</v>
      </c>
      <c r="B2778" t="s">
        <v>13497</v>
      </c>
      <c r="D2778" t="s">
        <v>12141</v>
      </c>
      <c r="E2778" t="s">
        <v>12141</v>
      </c>
      <c r="F2778">
        <v>2009</v>
      </c>
      <c r="G2778" t="s">
        <v>8655</v>
      </c>
      <c r="H2778" t="s">
        <v>13498</v>
      </c>
      <c r="I2778" t="s">
        <v>13499</v>
      </c>
      <c r="J2778" t="s">
        <v>26</v>
      </c>
      <c r="K2778" t="s">
        <v>27</v>
      </c>
      <c r="L2778" t="b">
        <v>1</v>
      </c>
      <c r="N2778" t="str">
        <f>"004.6023"</f>
        <v>004.6023</v>
      </c>
      <c r="O2778" t="s">
        <v>12145</v>
      </c>
      <c r="P2778" t="b">
        <v>0</v>
      </c>
      <c r="R2778" t="str">
        <f>"9781585118656"</f>
        <v>9781585118656</v>
      </c>
      <c r="S2778" t="str">
        <f>"9781441613011"</f>
        <v>9781441613011</v>
      </c>
      <c r="T2778">
        <v>401371445</v>
      </c>
    </row>
    <row r="2779" spans="1:20" x14ac:dyDescent="0.25">
      <c r="A2779">
        <v>276802</v>
      </c>
      <c r="B2779" t="s">
        <v>13500</v>
      </c>
      <c r="C2779" t="s">
        <v>13501</v>
      </c>
      <c r="D2779" t="s">
        <v>12141</v>
      </c>
      <c r="E2779" t="s">
        <v>12141</v>
      </c>
      <c r="F2779">
        <v>2009</v>
      </c>
      <c r="G2779" t="s">
        <v>10729</v>
      </c>
      <c r="H2779" t="s">
        <v>13495</v>
      </c>
      <c r="I2779" t="s">
        <v>13502</v>
      </c>
      <c r="J2779" t="s">
        <v>26</v>
      </c>
      <c r="K2779" t="s">
        <v>27</v>
      </c>
      <c r="L2779" t="b">
        <v>1</v>
      </c>
      <c r="N2779" t="str">
        <f>"624.1023"</f>
        <v>624.1023</v>
      </c>
      <c r="O2779" t="s">
        <v>12145</v>
      </c>
      <c r="P2779" t="b">
        <v>0</v>
      </c>
      <c r="R2779" t="str">
        <f>"9781585117970"</f>
        <v>9781585117970</v>
      </c>
      <c r="S2779" t="str">
        <f>"9781441613004"</f>
        <v>9781441613004</v>
      </c>
      <c r="T2779">
        <v>401376696</v>
      </c>
    </row>
    <row r="2780" spans="1:20" x14ac:dyDescent="0.25">
      <c r="A2780">
        <v>276798</v>
      </c>
      <c r="B2780" t="s">
        <v>13503</v>
      </c>
      <c r="D2780" t="s">
        <v>12141</v>
      </c>
      <c r="E2780" t="s">
        <v>12141</v>
      </c>
      <c r="F2780">
        <v>2009</v>
      </c>
      <c r="G2780" t="s">
        <v>10133</v>
      </c>
      <c r="H2780" t="s">
        <v>13504</v>
      </c>
      <c r="I2780" t="s">
        <v>13505</v>
      </c>
      <c r="J2780" t="s">
        <v>26</v>
      </c>
      <c r="K2780" t="s">
        <v>27</v>
      </c>
      <c r="L2780" t="b">
        <v>1</v>
      </c>
      <c r="N2780" t="str">
        <f>"615/.1023"</f>
        <v>615/.1023</v>
      </c>
      <c r="O2780" t="s">
        <v>12145</v>
      </c>
      <c r="P2780" t="b">
        <v>0</v>
      </c>
      <c r="R2780" t="str">
        <f>"9781585118779"</f>
        <v>9781585118779</v>
      </c>
      <c r="S2780" t="str">
        <f>"9781441612960"</f>
        <v>9781441612960</v>
      </c>
      <c r="T2780">
        <v>401366340</v>
      </c>
    </row>
    <row r="2781" spans="1:20" x14ac:dyDescent="0.25">
      <c r="A2781">
        <v>276795</v>
      </c>
      <c r="B2781" t="s">
        <v>13506</v>
      </c>
      <c r="D2781" t="s">
        <v>12141</v>
      </c>
      <c r="E2781" t="s">
        <v>12141</v>
      </c>
      <c r="F2781">
        <v>2009</v>
      </c>
      <c r="G2781" t="s">
        <v>11593</v>
      </c>
      <c r="H2781" t="s">
        <v>13507</v>
      </c>
      <c r="I2781" t="s">
        <v>13508</v>
      </c>
      <c r="J2781" t="s">
        <v>26</v>
      </c>
      <c r="K2781" t="s">
        <v>27</v>
      </c>
      <c r="L2781" t="b">
        <v>1</v>
      </c>
      <c r="N2781" t="str">
        <f>"610.28023"</f>
        <v>610.28023</v>
      </c>
      <c r="O2781" t="s">
        <v>12145</v>
      </c>
      <c r="P2781" t="b">
        <v>0</v>
      </c>
      <c r="R2781" t="str">
        <f>"9781585118748"</f>
        <v>9781585118748</v>
      </c>
      <c r="S2781" t="str">
        <f>"9781441612939"</f>
        <v>9781441612939</v>
      </c>
      <c r="T2781">
        <v>400482789</v>
      </c>
    </row>
    <row r="2782" spans="1:20" x14ac:dyDescent="0.25">
      <c r="A2782">
        <v>276671</v>
      </c>
      <c r="B2782" t="s">
        <v>13509</v>
      </c>
      <c r="C2782" t="s">
        <v>13510</v>
      </c>
      <c r="D2782" t="s">
        <v>12141</v>
      </c>
      <c r="E2782" t="s">
        <v>12141</v>
      </c>
      <c r="F2782">
        <v>2009</v>
      </c>
      <c r="G2782" t="s">
        <v>7399</v>
      </c>
      <c r="H2782" t="s">
        <v>13511</v>
      </c>
      <c r="I2782" t="s">
        <v>13512</v>
      </c>
      <c r="J2782" t="s">
        <v>26</v>
      </c>
      <c r="K2782" t="s">
        <v>27</v>
      </c>
      <c r="L2782" t="b">
        <v>1</v>
      </c>
      <c r="N2782" t="str">
        <f>"618.97023"</f>
        <v>618.97023</v>
      </c>
      <c r="O2782" t="s">
        <v>12145</v>
      </c>
      <c r="P2782" t="b">
        <v>0</v>
      </c>
      <c r="R2782" t="str">
        <f>"9781585118878"</f>
        <v>9781585118878</v>
      </c>
      <c r="S2782" t="str">
        <f>"9781441612861"</f>
        <v>9781441612861</v>
      </c>
      <c r="T2782">
        <v>400427593</v>
      </c>
    </row>
    <row r="2783" spans="1:20" x14ac:dyDescent="0.25">
      <c r="A2783">
        <v>276670</v>
      </c>
      <c r="B2783" t="s">
        <v>13513</v>
      </c>
      <c r="D2783" t="s">
        <v>12141</v>
      </c>
      <c r="E2783" t="s">
        <v>12141</v>
      </c>
      <c r="F2783">
        <v>2009</v>
      </c>
      <c r="G2783" t="s">
        <v>9274</v>
      </c>
      <c r="H2783" t="s">
        <v>13514</v>
      </c>
      <c r="I2783" t="s">
        <v>13515</v>
      </c>
      <c r="J2783" t="s">
        <v>26</v>
      </c>
      <c r="K2783" t="s">
        <v>27</v>
      </c>
      <c r="L2783" t="b">
        <v>1</v>
      </c>
      <c r="N2783" t="str">
        <f>"363.37/023"</f>
        <v>363.37/023</v>
      </c>
      <c r="O2783" t="s">
        <v>12145</v>
      </c>
      <c r="P2783" t="b">
        <v>0</v>
      </c>
      <c r="R2783" t="str">
        <f>"9781585116775"</f>
        <v>9781585116775</v>
      </c>
      <c r="S2783" t="str">
        <f>"9781441612854"</f>
        <v>9781441612854</v>
      </c>
      <c r="T2783">
        <v>400009675</v>
      </c>
    </row>
    <row r="2784" spans="1:20" x14ac:dyDescent="0.25">
      <c r="A2784">
        <v>275376</v>
      </c>
      <c r="B2784" t="s">
        <v>13516</v>
      </c>
      <c r="C2784" t="s">
        <v>13517</v>
      </c>
      <c r="D2784" t="s">
        <v>131</v>
      </c>
      <c r="E2784" t="s">
        <v>1885</v>
      </c>
      <c r="F2784">
        <v>2006</v>
      </c>
      <c r="G2784" t="s">
        <v>2395</v>
      </c>
      <c r="H2784" t="s">
        <v>13518</v>
      </c>
      <c r="I2784" t="s">
        <v>13519</v>
      </c>
      <c r="J2784" t="s">
        <v>26</v>
      </c>
      <c r="K2784" t="s">
        <v>86</v>
      </c>
      <c r="L2784" t="b">
        <v>1</v>
      </c>
      <c r="M2784" t="s">
        <v>13520</v>
      </c>
      <c r="N2784" t="str">
        <f>"236.9"</f>
        <v>236.9</v>
      </c>
      <c r="P2784" t="b">
        <v>0</v>
      </c>
      <c r="R2784" t="str">
        <f>"9781578591688"</f>
        <v>9781578591688</v>
      </c>
      <c r="S2784" t="str">
        <f>"9781578592449"</f>
        <v>9781578592449</v>
      </c>
      <c r="T2784">
        <v>402466929</v>
      </c>
    </row>
    <row r="2785" spans="1:20" x14ac:dyDescent="0.25">
      <c r="A2785">
        <v>274522</v>
      </c>
      <c r="B2785" t="s">
        <v>13521</v>
      </c>
      <c r="D2785" t="s">
        <v>13522</v>
      </c>
      <c r="E2785" t="s">
        <v>13523</v>
      </c>
      <c r="F2785">
        <v>2001</v>
      </c>
      <c r="G2785" t="s">
        <v>355</v>
      </c>
      <c r="H2785" t="s">
        <v>13524</v>
      </c>
      <c r="I2785" t="s">
        <v>13525</v>
      </c>
      <c r="J2785" t="s">
        <v>26</v>
      </c>
      <c r="K2785" t="s">
        <v>27</v>
      </c>
      <c r="L2785" t="b">
        <v>1</v>
      </c>
      <c r="M2785" t="s">
        <v>13526</v>
      </c>
      <c r="N2785" t="str">
        <f>"678.2"</f>
        <v>678.2</v>
      </c>
      <c r="P2785" t="b">
        <v>0</v>
      </c>
      <c r="R2785" t="str">
        <f>"9781847351005"</f>
        <v>9781847351005</v>
      </c>
      <c r="S2785" t="str">
        <f>"9781847351012"</f>
        <v>9781847351012</v>
      </c>
      <c r="T2785">
        <v>374139213</v>
      </c>
    </row>
    <row r="2786" spans="1:20" x14ac:dyDescent="0.25">
      <c r="A2786">
        <v>274412</v>
      </c>
      <c r="B2786" t="s">
        <v>13527</v>
      </c>
      <c r="D2786" t="s">
        <v>1364</v>
      </c>
      <c r="E2786" t="s">
        <v>1507</v>
      </c>
      <c r="F2786">
        <v>2007</v>
      </c>
      <c r="G2786" t="s">
        <v>182</v>
      </c>
      <c r="H2786" t="s">
        <v>13528</v>
      </c>
      <c r="I2786" t="s">
        <v>7789</v>
      </c>
      <c r="J2786" t="s">
        <v>7790</v>
      </c>
      <c r="K2786" t="s">
        <v>27</v>
      </c>
      <c r="L2786" t="b">
        <v>1</v>
      </c>
      <c r="M2786" t="s">
        <v>13529</v>
      </c>
      <c r="N2786" t="str">
        <f>"943.087092"</f>
        <v>943.087092</v>
      </c>
      <c r="P2786" t="b">
        <v>0</v>
      </c>
      <c r="R2786" t="str">
        <f>"9783598251252"</f>
        <v>9783598251252</v>
      </c>
      <c r="S2786" t="str">
        <f>"9783598441165"</f>
        <v>9783598441165</v>
      </c>
      <c r="T2786">
        <v>402594567</v>
      </c>
    </row>
    <row r="2787" spans="1:20" x14ac:dyDescent="0.25">
      <c r="A2787">
        <v>274409</v>
      </c>
      <c r="B2787" t="s">
        <v>13530</v>
      </c>
      <c r="C2787" t="s">
        <v>13531</v>
      </c>
      <c r="D2787" t="s">
        <v>1364</v>
      </c>
      <c r="E2787" t="s">
        <v>1507</v>
      </c>
      <c r="F2787">
        <v>2004</v>
      </c>
      <c r="G2787" t="s">
        <v>197</v>
      </c>
      <c r="H2787" t="s">
        <v>13532</v>
      </c>
      <c r="I2787" t="s">
        <v>13533</v>
      </c>
      <c r="J2787" t="s">
        <v>7790</v>
      </c>
      <c r="K2787" t="s">
        <v>27</v>
      </c>
      <c r="L2787" t="b">
        <v>1</v>
      </c>
      <c r="M2787" t="s">
        <v>13534</v>
      </c>
      <c r="N2787" t="str">
        <f>"895.109"</f>
        <v>895.109</v>
      </c>
      <c r="O2787" t="s">
        <v>13535</v>
      </c>
      <c r="P2787" t="b">
        <v>0</v>
      </c>
      <c r="R2787" t="str">
        <f>"9783598245459"</f>
        <v>9783598245459</v>
      </c>
      <c r="S2787" t="str">
        <f>"9783598441134"</f>
        <v>9783598441134</v>
      </c>
      <c r="T2787">
        <v>401745056</v>
      </c>
    </row>
    <row r="2788" spans="1:20" x14ac:dyDescent="0.25">
      <c r="A2788">
        <v>274408</v>
      </c>
      <c r="B2788" t="s">
        <v>13536</v>
      </c>
      <c r="C2788" t="s">
        <v>13537</v>
      </c>
      <c r="D2788" t="s">
        <v>1364</v>
      </c>
      <c r="E2788" t="s">
        <v>1507</v>
      </c>
      <c r="F2788">
        <v>2003</v>
      </c>
      <c r="G2788" t="s">
        <v>197</v>
      </c>
      <c r="H2788" t="s">
        <v>13538</v>
      </c>
      <c r="I2788" t="s">
        <v>13539</v>
      </c>
      <c r="J2788" t="s">
        <v>7790</v>
      </c>
      <c r="K2788" t="s">
        <v>27</v>
      </c>
      <c r="L2788" t="b">
        <v>1</v>
      </c>
      <c r="M2788" t="s">
        <v>13540</v>
      </c>
      <c r="N2788" t="str">
        <f>"895.1/3009"</f>
        <v>895.1/3009</v>
      </c>
      <c r="O2788" t="s">
        <v>13535</v>
      </c>
      <c r="P2788" t="b">
        <v>0</v>
      </c>
      <c r="R2788" t="str">
        <f>"9783598245428"</f>
        <v>9783598245428</v>
      </c>
      <c r="S2788" t="str">
        <f>"9783598441127"</f>
        <v>9783598441127</v>
      </c>
      <c r="T2788">
        <v>401429997</v>
      </c>
    </row>
    <row r="2789" spans="1:20" x14ac:dyDescent="0.25">
      <c r="A2789">
        <v>274407</v>
      </c>
      <c r="B2789" t="s">
        <v>13541</v>
      </c>
      <c r="D2789" t="s">
        <v>1364</v>
      </c>
      <c r="E2789" t="s">
        <v>1507</v>
      </c>
      <c r="F2789">
        <v>2002</v>
      </c>
      <c r="G2789" t="s">
        <v>197</v>
      </c>
      <c r="H2789" t="s">
        <v>13542</v>
      </c>
      <c r="I2789" t="s">
        <v>13543</v>
      </c>
      <c r="J2789" t="s">
        <v>7790</v>
      </c>
      <c r="K2789" t="s">
        <v>27</v>
      </c>
      <c r="L2789" t="b">
        <v>1</v>
      </c>
      <c r="M2789" t="s">
        <v>13544</v>
      </c>
      <c r="N2789" t="str">
        <f>"895.1/3009"</f>
        <v>895.1/3009</v>
      </c>
      <c r="O2789" t="s">
        <v>13535</v>
      </c>
      <c r="P2789" t="b">
        <v>0</v>
      </c>
      <c r="R2789" t="str">
        <f>"9783598245442"</f>
        <v>9783598245442</v>
      </c>
      <c r="S2789" t="str">
        <f>"9783598441110"</f>
        <v>9783598441110</v>
      </c>
      <c r="T2789">
        <v>402561713</v>
      </c>
    </row>
    <row r="2790" spans="1:20" x14ac:dyDescent="0.25">
      <c r="A2790">
        <v>274406</v>
      </c>
      <c r="B2790" t="s">
        <v>13545</v>
      </c>
      <c r="D2790" t="s">
        <v>1364</v>
      </c>
      <c r="E2790" t="s">
        <v>1507</v>
      </c>
      <c r="F2790">
        <v>2002</v>
      </c>
      <c r="G2790" t="s">
        <v>197</v>
      </c>
      <c r="H2790" t="s">
        <v>13546</v>
      </c>
      <c r="I2790" t="s">
        <v>13547</v>
      </c>
      <c r="J2790" t="s">
        <v>7790</v>
      </c>
      <c r="K2790" t="s">
        <v>27</v>
      </c>
      <c r="L2790" t="b">
        <v>1</v>
      </c>
      <c r="M2790" t="s">
        <v>13548</v>
      </c>
      <c r="N2790" t="str">
        <f>"895.1/1009"</f>
        <v>895.1/1009</v>
      </c>
      <c r="O2790" t="s">
        <v>13535</v>
      </c>
      <c r="P2790" t="b">
        <v>0</v>
      </c>
      <c r="R2790" t="str">
        <f>"9783598245411"</f>
        <v>9783598245411</v>
      </c>
      <c r="S2790" t="str">
        <f>"9783598441103"</f>
        <v>9783598441103</v>
      </c>
      <c r="T2790">
        <v>402826450</v>
      </c>
    </row>
    <row r="2791" spans="1:20" x14ac:dyDescent="0.25">
      <c r="A2791">
        <v>274404</v>
      </c>
      <c r="B2791">
        <v>2008</v>
      </c>
      <c r="D2791" t="s">
        <v>1364</v>
      </c>
      <c r="E2791" t="s">
        <v>1507</v>
      </c>
      <c r="F2791">
        <v>2008</v>
      </c>
      <c r="G2791" t="s">
        <v>6053</v>
      </c>
      <c r="H2791" t="s">
        <v>13549</v>
      </c>
      <c r="I2791" t="s">
        <v>12206</v>
      </c>
      <c r="J2791" t="s">
        <v>7790</v>
      </c>
      <c r="K2791" t="s">
        <v>27</v>
      </c>
      <c r="L2791" t="b">
        <v>1</v>
      </c>
      <c r="M2791" t="s">
        <v>12207</v>
      </c>
      <c r="N2791" t="str">
        <f>"686.20943"</f>
        <v>686.20943</v>
      </c>
      <c r="O2791" t="s">
        <v>12208</v>
      </c>
      <c r="P2791" t="b">
        <v>0</v>
      </c>
      <c r="R2791" t="str">
        <f>"9783598248597"</f>
        <v>9783598248597</v>
      </c>
      <c r="S2791" t="str">
        <f>"9783598441059"</f>
        <v>9783598441059</v>
      </c>
      <c r="T2791">
        <v>402826402</v>
      </c>
    </row>
    <row r="2792" spans="1:20" x14ac:dyDescent="0.25">
      <c r="A2792">
        <v>273613</v>
      </c>
      <c r="B2792" t="s">
        <v>13550</v>
      </c>
      <c r="C2792" t="s">
        <v>13551</v>
      </c>
      <c r="D2792" t="s">
        <v>13060</v>
      </c>
      <c r="E2792" t="s">
        <v>13060</v>
      </c>
      <c r="F2792">
        <v>2009</v>
      </c>
      <c r="G2792" t="s">
        <v>9943</v>
      </c>
      <c r="H2792" t="s">
        <v>13552</v>
      </c>
      <c r="I2792" t="s">
        <v>13553</v>
      </c>
      <c r="J2792" t="s">
        <v>26</v>
      </c>
      <c r="K2792" t="s">
        <v>27</v>
      </c>
      <c r="L2792" t="b">
        <v>1</v>
      </c>
      <c r="M2792" t="s">
        <v>13554</v>
      </c>
      <c r="N2792" t="str">
        <f>"616/.0472"</f>
        <v>616/.0472</v>
      </c>
      <c r="P2792" t="b">
        <v>0</v>
      </c>
      <c r="R2792" t="str">
        <f>"9781600051289"</f>
        <v>9781600051289</v>
      </c>
      <c r="S2792" t="str">
        <f>"9781600051296"</f>
        <v>9781600051296</v>
      </c>
      <c r="T2792">
        <v>460718265</v>
      </c>
    </row>
    <row r="2793" spans="1:20" x14ac:dyDescent="0.25">
      <c r="A2793">
        <v>273611</v>
      </c>
      <c r="B2793" t="s">
        <v>13555</v>
      </c>
      <c r="C2793" t="s">
        <v>13556</v>
      </c>
      <c r="D2793" t="s">
        <v>13060</v>
      </c>
      <c r="E2793" t="s">
        <v>13060</v>
      </c>
      <c r="F2793">
        <v>2008</v>
      </c>
      <c r="G2793" t="s">
        <v>3923</v>
      </c>
      <c r="H2793" t="s">
        <v>13557</v>
      </c>
      <c r="I2793" t="s">
        <v>13558</v>
      </c>
      <c r="J2793" t="s">
        <v>26</v>
      </c>
      <c r="K2793" t="s">
        <v>27</v>
      </c>
      <c r="L2793" t="b">
        <v>1</v>
      </c>
      <c r="M2793" t="s">
        <v>13559</v>
      </c>
      <c r="N2793" t="str">
        <f>"006.7"</f>
        <v>006.7</v>
      </c>
      <c r="P2793" t="b">
        <v>0</v>
      </c>
      <c r="R2793" t="str">
        <f>"9781600051098"</f>
        <v>9781600051098</v>
      </c>
      <c r="S2793" t="str">
        <f>"9781600051104"</f>
        <v>9781600051104</v>
      </c>
      <c r="T2793">
        <v>391052299</v>
      </c>
    </row>
    <row r="2794" spans="1:20" x14ac:dyDescent="0.25">
      <c r="A2794">
        <v>272896</v>
      </c>
      <c r="B2794" t="s">
        <v>13560</v>
      </c>
      <c r="C2794" t="s">
        <v>13561</v>
      </c>
      <c r="D2794" t="s">
        <v>1151</v>
      </c>
      <c r="E2794" t="s">
        <v>13562</v>
      </c>
      <c r="F2794">
        <v>2009</v>
      </c>
      <c r="G2794" t="s">
        <v>7671</v>
      </c>
      <c r="H2794" t="s">
        <v>13563</v>
      </c>
      <c r="I2794" t="s">
        <v>13564</v>
      </c>
      <c r="J2794" t="s">
        <v>26</v>
      </c>
      <c r="K2794" t="s">
        <v>27</v>
      </c>
      <c r="L2794" t="b">
        <v>1</v>
      </c>
      <c r="M2794" t="s">
        <v>13565</v>
      </c>
      <c r="N2794" t="str">
        <f>"933/.05"</f>
        <v>933/.05</v>
      </c>
      <c r="P2794" t="b">
        <v>0</v>
      </c>
      <c r="R2794" t="str">
        <f>"9780306818073"</f>
        <v>9780306818073</v>
      </c>
      <c r="S2794" t="str">
        <f>"9780786746415"</f>
        <v>9780786746415</v>
      </c>
      <c r="T2794">
        <v>369296303</v>
      </c>
    </row>
    <row r="2795" spans="1:20" x14ac:dyDescent="0.25">
      <c r="A2795">
        <v>272597</v>
      </c>
      <c r="B2795" t="s">
        <v>13566</v>
      </c>
      <c r="C2795" t="s">
        <v>13567</v>
      </c>
      <c r="D2795" t="s">
        <v>226</v>
      </c>
      <c r="E2795" t="s">
        <v>226</v>
      </c>
      <c r="F2795">
        <v>2008</v>
      </c>
      <c r="G2795" t="s">
        <v>2949</v>
      </c>
      <c r="H2795" t="s">
        <v>13568</v>
      </c>
      <c r="I2795" t="s">
        <v>13569</v>
      </c>
      <c r="J2795" t="s">
        <v>26</v>
      </c>
      <c r="K2795" t="s">
        <v>27</v>
      </c>
      <c r="L2795" t="b">
        <v>1</v>
      </c>
      <c r="M2795" t="s">
        <v>13570</v>
      </c>
      <c r="N2795" t="str">
        <f>"569.90951"</f>
        <v>569.90951</v>
      </c>
      <c r="P2795" t="b">
        <v>0</v>
      </c>
      <c r="Q2795" t="b">
        <v>0</v>
      </c>
      <c r="R2795" t="str">
        <f>"9780226738604"</f>
        <v>9780226738604</v>
      </c>
      <c r="S2795" t="str">
        <f>"9780226738611"</f>
        <v>9780226738611</v>
      </c>
      <c r="T2795">
        <v>444653978</v>
      </c>
    </row>
    <row r="2796" spans="1:20" x14ac:dyDescent="0.25">
      <c r="A2796">
        <v>272589</v>
      </c>
      <c r="B2796" t="s">
        <v>13571</v>
      </c>
      <c r="C2796" t="s">
        <v>13572</v>
      </c>
      <c r="D2796" t="s">
        <v>226</v>
      </c>
      <c r="E2796" t="s">
        <v>226</v>
      </c>
      <c r="F2796">
        <v>2007</v>
      </c>
      <c r="G2796" t="s">
        <v>57</v>
      </c>
      <c r="H2796" t="s">
        <v>13573</v>
      </c>
      <c r="I2796" t="s">
        <v>13574</v>
      </c>
      <c r="J2796" t="s">
        <v>26</v>
      </c>
      <c r="K2796" t="s">
        <v>27</v>
      </c>
      <c r="L2796" t="b">
        <v>1</v>
      </c>
      <c r="M2796" t="s">
        <v>13575</v>
      </c>
      <c r="N2796" t="str">
        <f>"307.3/4160974723"</f>
        <v>307.3/4160974723</v>
      </c>
      <c r="P2796" t="b">
        <v>0</v>
      </c>
      <c r="Q2796" t="b">
        <v>0</v>
      </c>
      <c r="R2796" t="str">
        <f>"9780226509075"</f>
        <v>9780226509075</v>
      </c>
      <c r="S2796" t="str">
        <f>"9780226509082"</f>
        <v>9780226509082</v>
      </c>
      <c r="T2796">
        <v>435816507</v>
      </c>
    </row>
    <row r="2797" spans="1:20" x14ac:dyDescent="0.25">
      <c r="A2797">
        <v>272311</v>
      </c>
      <c r="B2797" t="s">
        <v>13576</v>
      </c>
      <c r="D2797" t="s">
        <v>12141</v>
      </c>
      <c r="E2797" t="s">
        <v>12141</v>
      </c>
      <c r="F2797">
        <v>2009</v>
      </c>
      <c r="G2797" t="s">
        <v>11258</v>
      </c>
      <c r="H2797" t="s">
        <v>13577</v>
      </c>
      <c r="I2797" t="s">
        <v>13578</v>
      </c>
      <c r="J2797" t="s">
        <v>26</v>
      </c>
      <c r="K2797" t="s">
        <v>27</v>
      </c>
      <c r="L2797" t="b">
        <v>1</v>
      </c>
      <c r="M2797" t="s">
        <v>12144</v>
      </c>
      <c r="N2797" t="str">
        <f>"621.3"</f>
        <v>621.3</v>
      </c>
      <c r="O2797" t="s">
        <v>12145</v>
      </c>
      <c r="P2797" t="b">
        <v>0</v>
      </c>
      <c r="R2797" t="str">
        <f>"9781585110377"</f>
        <v>9781585110377</v>
      </c>
      <c r="S2797" t="str">
        <f>"9781441608819"</f>
        <v>9781441608819</v>
      </c>
      <c r="T2797">
        <v>370288670</v>
      </c>
    </row>
    <row r="2798" spans="1:20" x14ac:dyDescent="0.25">
      <c r="A2798">
        <v>272310</v>
      </c>
      <c r="B2798" t="s">
        <v>13579</v>
      </c>
      <c r="D2798" t="s">
        <v>12141</v>
      </c>
      <c r="E2798" t="s">
        <v>12141</v>
      </c>
      <c r="F2798">
        <v>2009</v>
      </c>
      <c r="G2798" t="s">
        <v>12359</v>
      </c>
      <c r="H2798" t="s">
        <v>13580</v>
      </c>
      <c r="I2798" t="s">
        <v>13581</v>
      </c>
      <c r="J2798" t="s">
        <v>26</v>
      </c>
      <c r="K2798" t="s">
        <v>27</v>
      </c>
      <c r="L2798" t="b">
        <v>1</v>
      </c>
      <c r="M2798" t="s">
        <v>12144</v>
      </c>
      <c r="N2798" t="str">
        <f>"617.602"</f>
        <v>617.602</v>
      </c>
      <c r="O2798" t="s">
        <v>12145</v>
      </c>
      <c r="P2798" t="b">
        <v>0</v>
      </c>
      <c r="R2798" t="str">
        <f>"9781585112241"</f>
        <v>9781585112241</v>
      </c>
      <c r="S2798" t="str">
        <f>"9781441608826"</f>
        <v>9781441608826</v>
      </c>
      <c r="T2798">
        <v>370280139</v>
      </c>
    </row>
    <row r="2799" spans="1:20" x14ac:dyDescent="0.25">
      <c r="A2799">
        <v>272305</v>
      </c>
      <c r="B2799" t="s">
        <v>13582</v>
      </c>
      <c r="D2799" t="s">
        <v>12141</v>
      </c>
      <c r="E2799" t="s">
        <v>12141</v>
      </c>
      <c r="F2799">
        <v>2009</v>
      </c>
      <c r="G2799" t="s">
        <v>1750</v>
      </c>
      <c r="H2799" t="s">
        <v>13583</v>
      </c>
      <c r="I2799" t="s">
        <v>13584</v>
      </c>
      <c r="J2799" t="s">
        <v>26</v>
      </c>
      <c r="K2799" t="s">
        <v>27</v>
      </c>
      <c r="L2799" t="b">
        <v>1</v>
      </c>
      <c r="M2799" t="s">
        <v>12144</v>
      </c>
      <c r="N2799" t="str">
        <f>"610.92"</f>
        <v>610.92</v>
      </c>
      <c r="O2799" t="s">
        <v>12145</v>
      </c>
      <c r="P2799" t="b">
        <v>0</v>
      </c>
      <c r="R2799" t="str">
        <f>"9781585110261"</f>
        <v>9781585110261</v>
      </c>
      <c r="S2799" t="str">
        <f>"9781441608796"</f>
        <v>9781441608796</v>
      </c>
      <c r="T2799">
        <v>370252440</v>
      </c>
    </row>
    <row r="2800" spans="1:20" x14ac:dyDescent="0.25">
      <c r="A2800">
        <v>272102</v>
      </c>
      <c r="B2800" t="s">
        <v>13585</v>
      </c>
      <c r="C2800" t="s">
        <v>13586</v>
      </c>
      <c r="D2800" t="s">
        <v>12187</v>
      </c>
      <c r="E2800" t="s">
        <v>12187</v>
      </c>
      <c r="F2800">
        <v>2008</v>
      </c>
      <c r="H2800" t="s">
        <v>13587</v>
      </c>
      <c r="I2800" t="s">
        <v>13588</v>
      </c>
      <c r="J2800" t="s">
        <v>26</v>
      </c>
      <c r="K2800" t="s">
        <v>27</v>
      </c>
      <c r="L2800" t="b">
        <v>1</v>
      </c>
      <c r="M2800" t="s">
        <v>13589</v>
      </c>
      <c r="N2800" t="str">
        <f>"613.850 954"</f>
        <v>613.850 954</v>
      </c>
      <c r="P2800" t="b">
        <v>0</v>
      </c>
      <c r="R2800" t="str">
        <f>"9788122422504"</f>
        <v>9788122422504</v>
      </c>
      <c r="S2800" t="str">
        <f>"9788122426496"</f>
        <v>9788122426496</v>
      </c>
      <c r="T2800">
        <v>567990019</v>
      </c>
    </row>
    <row r="2801" spans="1:20" x14ac:dyDescent="0.25">
      <c r="A2801">
        <v>272097</v>
      </c>
      <c r="B2801" t="s">
        <v>13590</v>
      </c>
      <c r="D2801" t="s">
        <v>12187</v>
      </c>
      <c r="E2801" t="s">
        <v>12187</v>
      </c>
      <c r="F2801">
        <v>2008</v>
      </c>
      <c r="G2801" t="s">
        <v>9050</v>
      </c>
      <c r="H2801" t="s">
        <v>13591</v>
      </c>
      <c r="I2801" t="s">
        <v>13592</v>
      </c>
      <c r="J2801" t="s">
        <v>26</v>
      </c>
      <c r="K2801" t="s">
        <v>27</v>
      </c>
      <c r="L2801" t="b">
        <v>1</v>
      </c>
      <c r="M2801" t="s">
        <v>13593</v>
      </c>
      <c r="N2801" t="str">
        <f>"547"</f>
        <v>547</v>
      </c>
      <c r="P2801" t="b">
        <v>0</v>
      </c>
      <c r="R2801" t="str">
        <f>"9788122421354"</f>
        <v>9788122421354</v>
      </c>
      <c r="S2801" t="str">
        <f>"9788122426472"</f>
        <v>9788122426472</v>
      </c>
      <c r="T2801">
        <v>369182643</v>
      </c>
    </row>
    <row r="2802" spans="1:20" x14ac:dyDescent="0.25">
      <c r="A2802">
        <v>269556</v>
      </c>
      <c r="B2802" t="s">
        <v>13594</v>
      </c>
      <c r="C2802" t="s">
        <v>13595</v>
      </c>
      <c r="D2802" t="s">
        <v>10161</v>
      </c>
      <c r="E2802" t="s">
        <v>10161</v>
      </c>
      <c r="F2802">
        <v>2009</v>
      </c>
      <c r="H2802" t="s">
        <v>13596</v>
      </c>
      <c r="I2802" t="s">
        <v>13597</v>
      </c>
      <c r="J2802" t="s">
        <v>26</v>
      </c>
      <c r="K2802" t="s">
        <v>27</v>
      </c>
      <c r="L2802" t="b">
        <v>1</v>
      </c>
      <c r="M2802" t="s">
        <v>13598</v>
      </c>
      <c r="N2802" t="str">
        <f>"305.42096"</f>
        <v>305.42096</v>
      </c>
      <c r="P2802" t="b">
        <v>0</v>
      </c>
      <c r="R2802" t="str">
        <f>"9781848131927"</f>
        <v>9781848131927</v>
      </c>
      <c r="S2802" t="str">
        <f>"9781552503997"</f>
        <v>9781552503997</v>
      </c>
      <c r="T2802">
        <v>321068837</v>
      </c>
    </row>
    <row r="2803" spans="1:20" x14ac:dyDescent="0.25">
      <c r="A2803">
        <v>269103</v>
      </c>
      <c r="B2803" t="s">
        <v>13599</v>
      </c>
      <c r="C2803" t="s">
        <v>13600</v>
      </c>
      <c r="D2803" t="s">
        <v>12187</v>
      </c>
      <c r="E2803" t="s">
        <v>12187</v>
      </c>
      <c r="F2803">
        <v>2008</v>
      </c>
      <c r="G2803" t="s">
        <v>400</v>
      </c>
      <c r="H2803" t="s">
        <v>13601</v>
      </c>
      <c r="I2803" t="s">
        <v>13602</v>
      </c>
      <c r="J2803" t="s">
        <v>26</v>
      </c>
      <c r="K2803" t="s">
        <v>27</v>
      </c>
      <c r="L2803" t="b">
        <v>1</v>
      </c>
      <c r="M2803" t="s">
        <v>13252</v>
      </c>
      <c r="N2803" t="str">
        <f>"628.028/7"</f>
        <v>628.028/7</v>
      </c>
      <c r="P2803" t="b">
        <v>0</v>
      </c>
      <c r="R2803" t="str">
        <f>"9788122422375"</f>
        <v>9788122422375</v>
      </c>
      <c r="S2803" t="str">
        <f>"9788122426526"</f>
        <v>9788122426526</v>
      </c>
      <c r="T2803">
        <v>318676641</v>
      </c>
    </row>
    <row r="2804" spans="1:20" x14ac:dyDescent="0.25">
      <c r="A2804">
        <v>268261</v>
      </c>
      <c r="B2804" t="s">
        <v>13603</v>
      </c>
      <c r="C2804" t="s">
        <v>13604</v>
      </c>
      <c r="D2804" t="s">
        <v>12187</v>
      </c>
      <c r="E2804" t="s">
        <v>12187</v>
      </c>
      <c r="F2804">
        <v>2008</v>
      </c>
      <c r="G2804" t="s">
        <v>8643</v>
      </c>
      <c r="H2804" t="s">
        <v>13605</v>
      </c>
      <c r="I2804" t="s">
        <v>13606</v>
      </c>
      <c r="J2804" t="s">
        <v>26</v>
      </c>
      <c r="K2804" t="s">
        <v>27</v>
      </c>
      <c r="L2804" t="b">
        <v>1</v>
      </c>
      <c r="M2804" t="s">
        <v>13607</v>
      </c>
      <c r="N2804" t="str">
        <f>"004"</f>
        <v>004</v>
      </c>
      <c r="P2804" t="b">
        <v>0</v>
      </c>
      <c r="R2804" t="str">
        <f>"9788122421569"</f>
        <v>9788122421569</v>
      </c>
      <c r="S2804" t="str">
        <f>"9788122426311"</f>
        <v>9788122426311</v>
      </c>
      <c r="T2804">
        <v>319540070</v>
      </c>
    </row>
    <row r="2805" spans="1:20" x14ac:dyDescent="0.25">
      <c r="A2805">
        <v>268256</v>
      </c>
      <c r="B2805" t="s">
        <v>13608</v>
      </c>
      <c r="C2805" t="s">
        <v>13609</v>
      </c>
      <c r="D2805" t="s">
        <v>12187</v>
      </c>
      <c r="E2805" t="s">
        <v>12187</v>
      </c>
      <c r="F2805">
        <v>2008</v>
      </c>
      <c r="G2805" t="s">
        <v>7627</v>
      </c>
      <c r="H2805" t="s">
        <v>13610</v>
      </c>
      <c r="I2805" t="s">
        <v>13611</v>
      </c>
      <c r="J2805" t="s">
        <v>26</v>
      </c>
      <c r="K2805" t="s">
        <v>27</v>
      </c>
      <c r="L2805" t="b">
        <v>1</v>
      </c>
      <c r="M2805" t="s">
        <v>13612</v>
      </c>
      <c r="N2805" t="str">
        <f>"612.8/2"</f>
        <v>612.8/2</v>
      </c>
      <c r="P2805" t="b">
        <v>0</v>
      </c>
      <c r="R2805" t="str">
        <f>"9788122422283"</f>
        <v>9788122422283</v>
      </c>
      <c r="S2805" t="str">
        <f>"9788122426298"</f>
        <v>9788122426298</v>
      </c>
      <c r="T2805">
        <v>319438931</v>
      </c>
    </row>
    <row r="2806" spans="1:20" x14ac:dyDescent="0.25">
      <c r="A2806">
        <v>268255</v>
      </c>
      <c r="B2806" t="s">
        <v>13613</v>
      </c>
      <c r="C2806" t="s">
        <v>13614</v>
      </c>
      <c r="D2806" t="s">
        <v>12187</v>
      </c>
      <c r="E2806" t="s">
        <v>12187</v>
      </c>
      <c r="F2806">
        <v>2008</v>
      </c>
      <c r="G2806" t="s">
        <v>8293</v>
      </c>
      <c r="H2806" t="s">
        <v>13615</v>
      </c>
      <c r="I2806" t="s">
        <v>13616</v>
      </c>
      <c r="J2806" t="s">
        <v>26</v>
      </c>
      <c r="K2806" t="s">
        <v>27</v>
      </c>
      <c r="L2806" t="b">
        <v>1</v>
      </c>
      <c r="M2806" t="s">
        <v>13617</v>
      </c>
      <c r="N2806" t="str">
        <f>"628.1;363.6/1"</f>
        <v>628.1;363.6/1</v>
      </c>
      <c r="P2806" t="b">
        <v>0</v>
      </c>
      <c r="R2806" t="str">
        <f>"9788122422245"</f>
        <v>9788122422245</v>
      </c>
      <c r="S2806" t="str">
        <f>"9788122426328"</f>
        <v>9788122426328</v>
      </c>
      <c r="T2806">
        <v>319437798</v>
      </c>
    </row>
    <row r="2807" spans="1:20" x14ac:dyDescent="0.25">
      <c r="A2807">
        <v>268254</v>
      </c>
      <c r="B2807" t="s">
        <v>13618</v>
      </c>
      <c r="D2807" t="s">
        <v>12187</v>
      </c>
      <c r="E2807" t="s">
        <v>12187</v>
      </c>
      <c r="F2807">
        <v>2008</v>
      </c>
      <c r="G2807" t="s">
        <v>12611</v>
      </c>
      <c r="H2807" t="s">
        <v>13619</v>
      </c>
      <c r="I2807" t="s">
        <v>13620</v>
      </c>
      <c r="J2807" t="s">
        <v>26</v>
      </c>
      <c r="K2807" t="s">
        <v>27</v>
      </c>
      <c r="L2807" t="b">
        <v>1</v>
      </c>
      <c r="M2807" t="s">
        <v>13621</v>
      </c>
      <c r="N2807" t="str">
        <f>"624.1/762"</f>
        <v>624.1/762</v>
      </c>
      <c r="P2807" t="b">
        <v>0</v>
      </c>
      <c r="R2807" t="str">
        <f>"9788122420791"</f>
        <v>9788122420791</v>
      </c>
      <c r="S2807" t="str">
        <f>"9788122426205"</f>
        <v>9788122426205</v>
      </c>
      <c r="T2807">
        <v>319436425</v>
      </c>
    </row>
    <row r="2808" spans="1:20" x14ac:dyDescent="0.25">
      <c r="A2808">
        <v>268171</v>
      </c>
      <c r="B2808" t="s">
        <v>13622</v>
      </c>
      <c r="C2808" t="s">
        <v>13623</v>
      </c>
      <c r="D2808" t="s">
        <v>2020</v>
      </c>
      <c r="E2808" t="s">
        <v>2021</v>
      </c>
      <c r="F2808">
        <v>2006</v>
      </c>
      <c r="G2808" t="s">
        <v>13624</v>
      </c>
      <c r="H2808" t="s">
        <v>13625</v>
      </c>
      <c r="I2808" t="s">
        <v>13626</v>
      </c>
      <c r="J2808" t="s">
        <v>26</v>
      </c>
      <c r="K2808" t="s">
        <v>86</v>
      </c>
      <c r="L2808" t="b">
        <v>1</v>
      </c>
      <c r="M2808" t="s">
        <v>13627</v>
      </c>
      <c r="N2808" t="str">
        <f>"610.73"</f>
        <v>610.73</v>
      </c>
      <c r="P2808" t="b">
        <v>0</v>
      </c>
      <c r="R2808" t="str">
        <f>"9780826163639"</f>
        <v>9780826163639</v>
      </c>
      <c r="S2808" t="str">
        <f>"9780826163646"</f>
        <v>9780826163646</v>
      </c>
      <c r="T2808">
        <v>319336159</v>
      </c>
    </row>
    <row r="2809" spans="1:20" x14ac:dyDescent="0.25">
      <c r="A2809">
        <v>268079</v>
      </c>
      <c r="B2809" t="s">
        <v>13628</v>
      </c>
      <c r="D2809" t="s">
        <v>1526</v>
      </c>
      <c r="E2809" t="s">
        <v>1526</v>
      </c>
      <c r="F2809">
        <v>2004</v>
      </c>
      <c r="G2809" t="s">
        <v>10286</v>
      </c>
      <c r="H2809" t="s">
        <v>13629</v>
      </c>
      <c r="I2809" t="s">
        <v>13630</v>
      </c>
      <c r="J2809" t="s">
        <v>26</v>
      </c>
      <c r="K2809" t="s">
        <v>27</v>
      </c>
      <c r="L2809" t="b">
        <v>1</v>
      </c>
      <c r="M2809" t="s">
        <v>13631</v>
      </c>
      <c r="N2809" t="str">
        <f>"005.2/76"</f>
        <v>005.2/76</v>
      </c>
      <c r="O2809" t="s">
        <v>8647</v>
      </c>
      <c r="P2809" t="b">
        <v>0</v>
      </c>
      <c r="R2809" t="str">
        <f>"9781904811169"</f>
        <v>9781904811169</v>
      </c>
      <c r="S2809" t="str">
        <f>"9781847190109"</f>
        <v>9781847190109</v>
      </c>
      <c r="T2809">
        <v>319712636</v>
      </c>
    </row>
    <row r="2810" spans="1:20" x14ac:dyDescent="0.25">
      <c r="A2810">
        <v>268078</v>
      </c>
      <c r="B2810" t="s">
        <v>13632</v>
      </c>
      <c r="D2810" t="s">
        <v>1526</v>
      </c>
      <c r="E2810" t="s">
        <v>1526</v>
      </c>
      <c r="F2810">
        <v>2005</v>
      </c>
      <c r="G2810" t="s">
        <v>13633</v>
      </c>
      <c r="H2810" t="s">
        <v>13634</v>
      </c>
      <c r="I2810" t="s">
        <v>13635</v>
      </c>
      <c r="J2810" t="s">
        <v>26</v>
      </c>
      <c r="K2810" t="s">
        <v>27</v>
      </c>
      <c r="L2810" t="b">
        <v>1</v>
      </c>
      <c r="M2810" t="s">
        <v>13636</v>
      </c>
      <c r="N2810" t="str">
        <f>"005.7/137682"</f>
        <v>005.7/137682</v>
      </c>
      <c r="O2810" t="s">
        <v>8647</v>
      </c>
      <c r="P2810" t="b">
        <v>0</v>
      </c>
      <c r="R2810" t="str">
        <f>"9781904811084"</f>
        <v>9781904811084</v>
      </c>
      <c r="S2810" t="str">
        <f>"9781847190024"</f>
        <v>9781847190024</v>
      </c>
      <c r="T2810">
        <v>319708856</v>
      </c>
    </row>
    <row r="2811" spans="1:20" x14ac:dyDescent="0.25">
      <c r="A2811">
        <v>268077</v>
      </c>
      <c r="B2811" t="s">
        <v>13637</v>
      </c>
      <c r="C2811" t="s">
        <v>13638</v>
      </c>
      <c r="D2811" t="s">
        <v>1526</v>
      </c>
      <c r="E2811" t="s">
        <v>1526</v>
      </c>
      <c r="F2811">
        <v>2005</v>
      </c>
      <c r="G2811" t="s">
        <v>8655</v>
      </c>
      <c r="H2811" t="s">
        <v>13639</v>
      </c>
      <c r="I2811" t="s">
        <v>13640</v>
      </c>
      <c r="J2811" t="s">
        <v>26</v>
      </c>
      <c r="K2811" t="s">
        <v>27</v>
      </c>
      <c r="L2811" t="b">
        <v>1</v>
      </c>
      <c r="M2811" t="s">
        <v>13641</v>
      </c>
      <c r="N2811" t="str">
        <f>"004.6/78"</f>
        <v>004.6/78</v>
      </c>
      <c r="O2811" t="s">
        <v>8647</v>
      </c>
      <c r="P2811" t="b">
        <v>0</v>
      </c>
      <c r="R2811" t="str">
        <f>"9781904811077"</f>
        <v>9781904811077</v>
      </c>
      <c r="S2811" t="str">
        <f>"9781847190017"</f>
        <v>9781847190017</v>
      </c>
      <c r="T2811">
        <v>319708770</v>
      </c>
    </row>
    <row r="2812" spans="1:20" x14ac:dyDescent="0.25">
      <c r="A2812">
        <v>268076</v>
      </c>
      <c r="B2812" t="s">
        <v>13642</v>
      </c>
      <c r="D2812" t="s">
        <v>1526</v>
      </c>
      <c r="E2812" t="s">
        <v>1526</v>
      </c>
      <c r="F2812">
        <v>2005</v>
      </c>
      <c r="G2812" t="s">
        <v>12887</v>
      </c>
      <c r="H2812" t="s">
        <v>13643</v>
      </c>
      <c r="I2812" t="s">
        <v>13644</v>
      </c>
      <c r="J2812" t="s">
        <v>26</v>
      </c>
      <c r="K2812" t="s">
        <v>27</v>
      </c>
      <c r="L2812" t="b">
        <v>1</v>
      </c>
      <c r="M2812" t="s">
        <v>13645</v>
      </c>
      <c r="N2812" t="str">
        <f>"778.5930285536"</f>
        <v>778.5930285536</v>
      </c>
      <c r="O2812" t="s">
        <v>8647</v>
      </c>
      <c r="P2812" t="b">
        <v>0</v>
      </c>
      <c r="R2812" t="str">
        <f>"9781904811350"</f>
        <v>9781904811350</v>
      </c>
      <c r="S2812" t="str">
        <f>"9781847190246"</f>
        <v>9781847190246</v>
      </c>
      <c r="T2812">
        <v>319708727</v>
      </c>
    </row>
    <row r="2813" spans="1:20" x14ac:dyDescent="0.25">
      <c r="A2813">
        <v>268075</v>
      </c>
      <c r="B2813" t="s">
        <v>13646</v>
      </c>
      <c r="C2813" t="s">
        <v>13647</v>
      </c>
      <c r="D2813" t="s">
        <v>1526</v>
      </c>
      <c r="E2813" t="s">
        <v>1526</v>
      </c>
      <c r="F2813">
        <v>2005</v>
      </c>
      <c r="G2813" t="s">
        <v>13648</v>
      </c>
      <c r="H2813" t="s">
        <v>13649</v>
      </c>
      <c r="I2813" t="s">
        <v>13650</v>
      </c>
      <c r="J2813" t="s">
        <v>26</v>
      </c>
      <c r="K2813" t="s">
        <v>27</v>
      </c>
      <c r="L2813" t="b">
        <v>1</v>
      </c>
      <c r="M2813" t="s">
        <v>13651</v>
      </c>
      <c r="N2813" t="str">
        <f>"005.1071"</f>
        <v>005.1071</v>
      </c>
      <c r="P2813" t="b">
        <v>0</v>
      </c>
      <c r="R2813" t="str">
        <f>"9781904811459"</f>
        <v>9781904811459</v>
      </c>
      <c r="S2813" t="str">
        <f>"9781847190338"</f>
        <v>9781847190338</v>
      </c>
      <c r="T2813">
        <v>319707100</v>
      </c>
    </row>
    <row r="2814" spans="1:20" x14ac:dyDescent="0.25">
      <c r="A2814">
        <v>268074</v>
      </c>
      <c r="B2814" t="s">
        <v>13652</v>
      </c>
      <c r="C2814" t="s">
        <v>13653</v>
      </c>
      <c r="D2814" t="s">
        <v>1526</v>
      </c>
      <c r="E2814" t="s">
        <v>1526</v>
      </c>
      <c r="F2814">
        <v>2005</v>
      </c>
      <c r="G2814" t="s">
        <v>8749</v>
      </c>
      <c r="H2814" t="s">
        <v>13654</v>
      </c>
      <c r="I2814" t="s">
        <v>13655</v>
      </c>
      <c r="J2814" t="s">
        <v>26</v>
      </c>
      <c r="K2814" t="s">
        <v>27</v>
      </c>
      <c r="L2814" t="b">
        <v>1</v>
      </c>
      <c r="M2814" t="s">
        <v>13656</v>
      </c>
      <c r="N2814" t="str">
        <f>"004.692"</f>
        <v>004.692</v>
      </c>
      <c r="P2814" t="b">
        <v>0</v>
      </c>
      <c r="R2814" t="str">
        <f>"9781904811374"</f>
        <v>9781904811374</v>
      </c>
      <c r="S2814" t="str">
        <f>"9781847190260"</f>
        <v>9781847190260</v>
      </c>
      <c r="T2814">
        <v>319865545</v>
      </c>
    </row>
    <row r="2815" spans="1:20" x14ac:dyDescent="0.25">
      <c r="A2815">
        <v>268072</v>
      </c>
      <c r="B2815" t="s">
        <v>13657</v>
      </c>
      <c r="C2815" t="s">
        <v>13658</v>
      </c>
      <c r="D2815" t="s">
        <v>1526</v>
      </c>
      <c r="E2815" t="s">
        <v>1526</v>
      </c>
      <c r="F2815">
        <v>2006</v>
      </c>
      <c r="G2815" t="s">
        <v>13659</v>
      </c>
      <c r="H2815" t="s">
        <v>13660</v>
      </c>
      <c r="I2815" t="s">
        <v>13661</v>
      </c>
      <c r="J2815" t="s">
        <v>26</v>
      </c>
      <c r="K2815" t="s">
        <v>27</v>
      </c>
      <c r="L2815" t="b">
        <v>1</v>
      </c>
      <c r="M2815" t="s">
        <v>13662</v>
      </c>
      <c r="N2815" t="str">
        <f>"006.6/8"</f>
        <v>006.6/8</v>
      </c>
      <c r="P2815" t="b">
        <v>0</v>
      </c>
      <c r="R2815" t="str">
        <f>"9781904811602"</f>
        <v>9781904811602</v>
      </c>
      <c r="S2815" t="str">
        <f>"9781847190468"</f>
        <v>9781847190468</v>
      </c>
      <c r="T2815">
        <v>319637536</v>
      </c>
    </row>
    <row r="2816" spans="1:20" x14ac:dyDescent="0.25">
      <c r="A2816">
        <v>268071</v>
      </c>
      <c r="B2816" t="s">
        <v>13663</v>
      </c>
      <c r="C2816" t="s">
        <v>13664</v>
      </c>
      <c r="D2816" t="s">
        <v>1526</v>
      </c>
      <c r="E2816" t="s">
        <v>1526</v>
      </c>
      <c r="F2816">
        <v>2006</v>
      </c>
      <c r="G2816" t="s">
        <v>13665</v>
      </c>
      <c r="H2816" t="s">
        <v>13666</v>
      </c>
      <c r="I2816" t="s">
        <v>13667</v>
      </c>
      <c r="J2816" t="s">
        <v>26</v>
      </c>
      <c r="K2816" t="s">
        <v>27</v>
      </c>
      <c r="L2816" t="b">
        <v>1</v>
      </c>
      <c r="M2816" t="s">
        <v>13668</v>
      </c>
      <c r="N2816" t="str">
        <f>"005.36"</f>
        <v>005.36</v>
      </c>
      <c r="O2816" t="s">
        <v>8647</v>
      </c>
      <c r="P2816" t="b">
        <v>0</v>
      </c>
      <c r="R2816" t="str">
        <f>"9781904811336"</f>
        <v>9781904811336</v>
      </c>
      <c r="S2816" t="str">
        <f>"9781847190239"</f>
        <v>9781847190239</v>
      </c>
      <c r="T2816">
        <v>319638125</v>
      </c>
    </row>
    <row r="2817" spans="1:20" x14ac:dyDescent="0.25">
      <c r="A2817">
        <v>267894</v>
      </c>
      <c r="B2817" t="s">
        <v>13669</v>
      </c>
      <c r="C2817" t="s">
        <v>13670</v>
      </c>
      <c r="D2817" t="s">
        <v>1526</v>
      </c>
      <c r="E2817" t="s">
        <v>1526</v>
      </c>
      <c r="F2817">
        <v>2005</v>
      </c>
      <c r="G2817" t="s">
        <v>10394</v>
      </c>
      <c r="H2817" t="s">
        <v>13671</v>
      </c>
      <c r="I2817" t="s">
        <v>13672</v>
      </c>
      <c r="J2817" t="s">
        <v>26</v>
      </c>
      <c r="K2817" t="s">
        <v>27</v>
      </c>
      <c r="L2817" t="b">
        <v>1</v>
      </c>
      <c r="M2817" t="s">
        <v>13673</v>
      </c>
      <c r="N2817" t="str">
        <f>"005.7/2"</f>
        <v>005.7/2</v>
      </c>
      <c r="O2817" t="s">
        <v>8647</v>
      </c>
      <c r="P2817" t="b">
        <v>0</v>
      </c>
      <c r="R2817" t="str">
        <f>"9781904811541"</f>
        <v>9781904811541</v>
      </c>
      <c r="S2817" t="str">
        <f>"9781847190413"</f>
        <v>9781847190413</v>
      </c>
      <c r="T2817">
        <v>319637439</v>
      </c>
    </row>
    <row r="2818" spans="1:20" x14ac:dyDescent="0.25">
      <c r="A2818">
        <v>267893</v>
      </c>
      <c r="B2818" t="s">
        <v>13674</v>
      </c>
      <c r="C2818" t="s">
        <v>13675</v>
      </c>
      <c r="D2818" t="s">
        <v>1526</v>
      </c>
      <c r="E2818" t="s">
        <v>1526</v>
      </c>
      <c r="F2818">
        <v>2005</v>
      </c>
      <c r="G2818" t="s">
        <v>13648</v>
      </c>
      <c r="H2818" t="s">
        <v>13676</v>
      </c>
      <c r="I2818" t="s">
        <v>13677</v>
      </c>
      <c r="J2818" t="s">
        <v>26</v>
      </c>
      <c r="K2818" t="s">
        <v>27</v>
      </c>
      <c r="L2818" t="b">
        <v>1</v>
      </c>
      <c r="M2818" t="s">
        <v>13678</v>
      </c>
      <c r="N2818" t="str">
        <f>"005.1/17"</f>
        <v>005.1/17</v>
      </c>
      <c r="O2818" t="s">
        <v>8647</v>
      </c>
      <c r="P2818" t="b">
        <v>0</v>
      </c>
      <c r="R2818" t="str">
        <f>"9781904811558"</f>
        <v>9781904811558</v>
      </c>
      <c r="S2818" t="str">
        <f>"9781847190420"</f>
        <v>9781847190420</v>
      </c>
      <c r="T2818">
        <v>319637048</v>
      </c>
    </row>
    <row r="2819" spans="1:20" x14ac:dyDescent="0.25">
      <c r="A2819">
        <v>267892</v>
      </c>
      <c r="B2819" t="s">
        <v>13679</v>
      </c>
      <c r="C2819" t="s">
        <v>13680</v>
      </c>
      <c r="D2819" t="s">
        <v>1526</v>
      </c>
      <c r="E2819" t="s">
        <v>1526</v>
      </c>
      <c r="F2819">
        <v>2005</v>
      </c>
      <c r="G2819" t="s">
        <v>10286</v>
      </c>
      <c r="H2819" t="s">
        <v>13681</v>
      </c>
      <c r="I2819" t="s">
        <v>13630</v>
      </c>
      <c r="J2819" t="s">
        <v>26</v>
      </c>
      <c r="K2819" t="s">
        <v>27</v>
      </c>
      <c r="L2819" t="b">
        <v>1</v>
      </c>
      <c r="M2819" t="s">
        <v>13682</v>
      </c>
      <c r="N2819" t="str">
        <f>"005.72"</f>
        <v>005.72</v>
      </c>
      <c r="O2819" t="s">
        <v>8647</v>
      </c>
      <c r="P2819" t="b">
        <v>0</v>
      </c>
      <c r="R2819" t="str">
        <f>"9781904811534"</f>
        <v>9781904811534</v>
      </c>
      <c r="S2819" t="str">
        <f>"9781847190406"</f>
        <v>9781847190406</v>
      </c>
      <c r="T2819">
        <v>319637395</v>
      </c>
    </row>
    <row r="2820" spans="1:20" x14ac:dyDescent="0.25">
      <c r="A2820">
        <v>267891</v>
      </c>
      <c r="B2820" t="s">
        <v>13683</v>
      </c>
      <c r="C2820" t="s">
        <v>13684</v>
      </c>
      <c r="D2820" t="s">
        <v>1526</v>
      </c>
      <c r="E2820" t="s">
        <v>1526</v>
      </c>
      <c r="F2820">
        <v>2006</v>
      </c>
      <c r="G2820" t="s">
        <v>3923</v>
      </c>
      <c r="H2820" t="s">
        <v>13685</v>
      </c>
      <c r="I2820" t="s">
        <v>13686</v>
      </c>
      <c r="J2820" t="s">
        <v>26</v>
      </c>
      <c r="K2820" t="s">
        <v>27</v>
      </c>
      <c r="L2820" t="b">
        <v>1</v>
      </c>
      <c r="M2820" t="s">
        <v>13687</v>
      </c>
      <c r="N2820" t="str">
        <f>"006.7/8"</f>
        <v>006.7/8</v>
      </c>
      <c r="P2820" t="b">
        <v>0</v>
      </c>
      <c r="R2820" t="str">
        <f>"9781904811817"</f>
        <v>9781904811817</v>
      </c>
      <c r="S2820" t="str">
        <f>"9781847190666"</f>
        <v>9781847190666</v>
      </c>
      <c r="T2820">
        <v>321092887</v>
      </c>
    </row>
    <row r="2821" spans="1:20" x14ac:dyDescent="0.25">
      <c r="A2821">
        <v>267890</v>
      </c>
      <c r="B2821" t="s">
        <v>13688</v>
      </c>
      <c r="C2821" t="s">
        <v>13689</v>
      </c>
      <c r="D2821" t="s">
        <v>1526</v>
      </c>
      <c r="E2821" t="s">
        <v>1526</v>
      </c>
      <c r="F2821">
        <v>2006</v>
      </c>
      <c r="G2821" t="s">
        <v>13690</v>
      </c>
      <c r="H2821" t="s">
        <v>13691</v>
      </c>
      <c r="I2821" t="s">
        <v>10390</v>
      </c>
      <c r="J2821" t="s">
        <v>26</v>
      </c>
      <c r="K2821" t="s">
        <v>27</v>
      </c>
      <c r="L2821" t="b">
        <v>1</v>
      </c>
      <c r="M2821" t="s">
        <v>13692</v>
      </c>
      <c r="N2821" t="str">
        <f>"004.67/8"</f>
        <v>004.67/8</v>
      </c>
      <c r="O2821" t="s">
        <v>8647</v>
      </c>
      <c r="P2821" t="b">
        <v>0</v>
      </c>
      <c r="R2821" t="str">
        <f>"9781904811251"</f>
        <v>9781904811251</v>
      </c>
      <c r="S2821" t="str">
        <f>"9781847190161"</f>
        <v>9781847190161</v>
      </c>
      <c r="T2821">
        <v>319547557</v>
      </c>
    </row>
    <row r="2822" spans="1:20" x14ac:dyDescent="0.25">
      <c r="A2822">
        <v>267887</v>
      </c>
      <c r="B2822" t="s">
        <v>13693</v>
      </c>
      <c r="C2822" t="s">
        <v>13694</v>
      </c>
      <c r="D2822" t="s">
        <v>1526</v>
      </c>
      <c r="E2822" t="s">
        <v>1526</v>
      </c>
      <c r="F2822">
        <v>2006</v>
      </c>
      <c r="G2822" t="s">
        <v>13690</v>
      </c>
      <c r="H2822" t="s">
        <v>13695</v>
      </c>
      <c r="I2822" t="s">
        <v>13696</v>
      </c>
      <c r="J2822" t="s">
        <v>26</v>
      </c>
      <c r="K2822" t="s">
        <v>27</v>
      </c>
      <c r="L2822" t="b">
        <v>1</v>
      </c>
      <c r="M2822" t="s">
        <v>13697</v>
      </c>
      <c r="N2822" t="str">
        <f>"004.67/8"</f>
        <v>004.67/8</v>
      </c>
      <c r="P2822" t="b">
        <v>0</v>
      </c>
      <c r="R2822" t="str">
        <f>"9781904811787"</f>
        <v>9781904811787</v>
      </c>
      <c r="S2822" t="str">
        <f>"9781847190635"</f>
        <v>9781847190635</v>
      </c>
      <c r="T2822">
        <v>319547052</v>
      </c>
    </row>
    <row r="2823" spans="1:20" x14ac:dyDescent="0.25">
      <c r="A2823">
        <v>267886</v>
      </c>
      <c r="B2823" t="s">
        <v>13698</v>
      </c>
      <c r="C2823" t="s">
        <v>13699</v>
      </c>
      <c r="D2823" t="s">
        <v>1526</v>
      </c>
      <c r="E2823" t="s">
        <v>1526</v>
      </c>
      <c r="F2823">
        <v>2006</v>
      </c>
      <c r="G2823" t="s">
        <v>8749</v>
      </c>
      <c r="H2823" t="s">
        <v>13700</v>
      </c>
      <c r="I2823" t="s">
        <v>13701</v>
      </c>
      <c r="J2823" t="s">
        <v>26</v>
      </c>
      <c r="K2823" t="s">
        <v>27</v>
      </c>
      <c r="L2823" t="b">
        <v>1</v>
      </c>
      <c r="M2823" t="s">
        <v>13702</v>
      </c>
      <c r="N2823" t="str">
        <f>"004.693"</f>
        <v>004.693</v>
      </c>
      <c r="O2823" t="s">
        <v>8647</v>
      </c>
      <c r="P2823" t="b">
        <v>0</v>
      </c>
      <c r="R2823" t="str">
        <f>"9781904811671"</f>
        <v>9781904811671</v>
      </c>
      <c r="S2823" t="str">
        <f>"9781847190536"</f>
        <v>9781847190536</v>
      </c>
      <c r="T2823">
        <v>320698685</v>
      </c>
    </row>
    <row r="2824" spans="1:20" x14ac:dyDescent="0.25">
      <c r="A2824">
        <v>267885</v>
      </c>
      <c r="B2824" t="s">
        <v>13703</v>
      </c>
      <c r="C2824" t="s">
        <v>13704</v>
      </c>
      <c r="D2824" t="s">
        <v>1526</v>
      </c>
      <c r="E2824" t="s">
        <v>1526</v>
      </c>
      <c r="F2824">
        <v>2006</v>
      </c>
      <c r="G2824" t="s">
        <v>13705</v>
      </c>
      <c r="H2824" t="s">
        <v>13706</v>
      </c>
      <c r="I2824" t="s">
        <v>13707</v>
      </c>
      <c r="J2824" t="s">
        <v>26</v>
      </c>
      <c r="K2824" t="s">
        <v>27</v>
      </c>
      <c r="L2824" t="b">
        <v>1</v>
      </c>
      <c r="M2824" t="s">
        <v>13708</v>
      </c>
      <c r="N2824" t="str">
        <f>"004.6/2"</f>
        <v>004.6/2</v>
      </c>
      <c r="P2824" t="b">
        <v>0</v>
      </c>
      <c r="R2824" t="str">
        <f>"9781904811718"</f>
        <v>9781904811718</v>
      </c>
      <c r="S2824" t="str">
        <f>"9781847190567"</f>
        <v>9781847190567</v>
      </c>
      <c r="T2824">
        <v>319547389</v>
      </c>
    </row>
    <row r="2825" spans="1:20" x14ac:dyDescent="0.25">
      <c r="A2825">
        <v>267453</v>
      </c>
      <c r="B2825" t="s">
        <v>13709</v>
      </c>
      <c r="C2825" t="s">
        <v>13710</v>
      </c>
      <c r="D2825" t="s">
        <v>10161</v>
      </c>
      <c r="E2825" t="s">
        <v>10161</v>
      </c>
      <c r="F2825">
        <v>1996</v>
      </c>
      <c r="G2825" t="s">
        <v>7419</v>
      </c>
      <c r="H2825" t="s">
        <v>13711</v>
      </c>
      <c r="I2825" t="s">
        <v>13712</v>
      </c>
      <c r="J2825" t="s">
        <v>503</v>
      </c>
      <c r="K2825" t="s">
        <v>27</v>
      </c>
      <c r="L2825" t="b">
        <v>1</v>
      </c>
      <c r="M2825" t="s">
        <v>13713</v>
      </c>
      <c r="N2825" t="str">
        <f>"613/.04244/097124"</f>
        <v>613/.04244/097124</v>
      </c>
      <c r="P2825" t="b">
        <v>0</v>
      </c>
      <c r="R2825" t="str">
        <f>"9780889367968"</f>
        <v>9780889367968</v>
      </c>
      <c r="S2825" t="str">
        <f>"9781552503843"</f>
        <v>9781552503843</v>
      </c>
      <c r="T2825">
        <v>311308142</v>
      </c>
    </row>
    <row r="2826" spans="1:20" x14ac:dyDescent="0.25">
      <c r="A2826">
        <v>267452</v>
      </c>
      <c r="B2826" t="s">
        <v>13714</v>
      </c>
      <c r="D2826" t="s">
        <v>10161</v>
      </c>
      <c r="E2826" t="s">
        <v>10161</v>
      </c>
      <c r="F2826">
        <v>1995</v>
      </c>
      <c r="G2826" t="s">
        <v>13715</v>
      </c>
      <c r="H2826" t="s">
        <v>13716</v>
      </c>
      <c r="I2826" t="s">
        <v>13717</v>
      </c>
      <c r="J2826" t="s">
        <v>26</v>
      </c>
      <c r="K2826" t="s">
        <v>27</v>
      </c>
      <c r="L2826" t="b">
        <v>1</v>
      </c>
      <c r="M2826" t="s">
        <v>13718</v>
      </c>
      <c r="N2826" t="str">
        <f>"338/.064/0967"</f>
        <v>338/.064/0967</v>
      </c>
      <c r="P2826" t="b">
        <v>0</v>
      </c>
      <c r="R2826" t="str">
        <f>"9780889367906"</f>
        <v>9780889367906</v>
      </c>
      <c r="S2826" t="str">
        <f>"9781552503195"</f>
        <v>9781552503195</v>
      </c>
      <c r="T2826">
        <v>318651638</v>
      </c>
    </row>
    <row r="2827" spans="1:20" x14ac:dyDescent="0.25">
      <c r="A2827">
        <v>267447</v>
      </c>
      <c r="B2827" t="s">
        <v>13719</v>
      </c>
      <c r="C2827" t="s">
        <v>13720</v>
      </c>
      <c r="D2827" t="s">
        <v>10161</v>
      </c>
      <c r="E2827" t="s">
        <v>10161</v>
      </c>
      <c r="F2827">
        <v>1997</v>
      </c>
      <c r="H2827" t="s">
        <v>13721</v>
      </c>
      <c r="I2827" t="s">
        <v>13722</v>
      </c>
      <c r="J2827" t="s">
        <v>26</v>
      </c>
      <c r="K2827" t="s">
        <v>27</v>
      </c>
      <c r="L2827" t="b">
        <v>1</v>
      </c>
      <c r="M2827" t="s">
        <v>13723</v>
      </c>
      <c r="N2827" t="str">
        <f>"613.2/86"</f>
        <v>613.2/86</v>
      </c>
      <c r="P2827" t="b">
        <v>0</v>
      </c>
      <c r="R2827" t="str">
        <f>"9780889367678"</f>
        <v>9780889367678</v>
      </c>
      <c r="S2827" t="str">
        <f>"9781552502679"</f>
        <v>9781552502679</v>
      </c>
      <c r="T2827">
        <v>318650761</v>
      </c>
    </row>
    <row r="2828" spans="1:20" x14ac:dyDescent="0.25">
      <c r="A2828">
        <v>267446</v>
      </c>
      <c r="B2828" t="s">
        <v>13724</v>
      </c>
      <c r="C2828" t="s">
        <v>13725</v>
      </c>
      <c r="D2828" t="s">
        <v>10161</v>
      </c>
      <c r="E2828" t="s">
        <v>10161</v>
      </c>
      <c r="F2828">
        <v>1995</v>
      </c>
      <c r="G2828" t="s">
        <v>13726</v>
      </c>
      <c r="H2828" t="s">
        <v>13727</v>
      </c>
      <c r="I2828" t="s">
        <v>13728</v>
      </c>
      <c r="J2828" t="s">
        <v>26</v>
      </c>
      <c r="K2828" t="s">
        <v>27</v>
      </c>
      <c r="L2828" t="b">
        <v>1</v>
      </c>
      <c r="M2828" t="s">
        <v>13729</v>
      </c>
      <c r="N2828" t="str">
        <f>"910"</f>
        <v>910</v>
      </c>
      <c r="P2828" t="b">
        <v>0</v>
      </c>
      <c r="R2828" t="str">
        <f>"9780889367661"</f>
        <v>9780889367661</v>
      </c>
      <c r="S2828" t="str">
        <f>"9781552502853"</f>
        <v>9781552502853</v>
      </c>
      <c r="T2828">
        <v>318651368</v>
      </c>
    </row>
    <row r="2829" spans="1:20" x14ac:dyDescent="0.25">
      <c r="A2829">
        <v>267436</v>
      </c>
      <c r="B2829" t="s">
        <v>13730</v>
      </c>
      <c r="C2829" t="s">
        <v>13731</v>
      </c>
      <c r="D2829" t="s">
        <v>10161</v>
      </c>
      <c r="E2829" t="s">
        <v>10161</v>
      </c>
      <c r="F2829">
        <v>1997</v>
      </c>
      <c r="G2829" t="s">
        <v>13732</v>
      </c>
      <c r="H2829" t="s">
        <v>13733</v>
      </c>
      <c r="I2829" t="s">
        <v>13734</v>
      </c>
      <c r="J2829" t="s">
        <v>26</v>
      </c>
      <c r="K2829" t="s">
        <v>27</v>
      </c>
      <c r="L2829" t="b">
        <v>1</v>
      </c>
      <c r="M2829" t="s">
        <v>13735</v>
      </c>
      <c r="N2829" t="str">
        <f>"338.951"</f>
        <v>338.951</v>
      </c>
      <c r="P2829" t="b">
        <v>0</v>
      </c>
      <c r="R2829" t="str">
        <f>"9780889368156"</f>
        <v>9780889368156</v>
      </c>
      <c r="S2829" t="str">
        <f>"9781552502587"</f>
        <v>9781552502587</v>
      </c>
      <c r="T2829">
        <v>316873925</v>
      </c>
    </row>
    <row r="2830" spans="1:20" x14ac:dyDescent="0.25">
      <c r="A2830">
        <v>267375</v>
      </c>
      <c r="B2830" t="s">
        <v>13736</v>
      </c>
      <c r="D2830" t="s">
        <v>5731</v>
      </c>
      <c r="E2830" t="s">
        <v>6240</v>
      </c>
      <c r="F2830">
        <v>2009</v>
      </c>
      <c r="G2830" t="s">
        <v>13737</v>
      </c>
      <c r="H2830" t="s">
        <v>13738</v>
      </c>
      <c r="I2830" t="s">
        <v>13739</v>
      </c>
      <c r="J2830" t="s">
        <v>26</v>
      </c>
      <c r="K2830" t="s">
        <v>86</v>
      </c>
      <c r="L2830" t="b">
        <v>1</v>
      </c>
      <c r="M2830" t="s">
        <v>13740</v>
      </c>
      <c r="N2830" t="str">
        <f>"665.503"</f>
        <v>665.503</v>
      </c>
      <c r="O2830" t="s">
        <v>13741</v>
      </c>
      <c r="P2830" t="b">
        <v>0</v>
      </c>
      <c r="R2830" t="str">
        <f>"9780810859937"</f>
        <v>9780810859937</v>
      </c>
      <c r="S2830" t="str">
        <f>"9780810862883"</f>
        <v>9780810862883</v>
      </c>
      <c r="T2830">
        <v>315479839</v>
      </c>
    </row>
    <row r="2831" spans="1:20" x14ac:dyDescent="0.25">
      <c r="A2831">
        <v>266806</v>
      </c>
      <c r="B2831" t="s">
        <v>13742</v>
      </c>
      <c r="C2831" t="s">
        <v>13743</v>
      </c>
      <c r="D2831" t="s">
        <v>203</v>
      </c>
      <c r="E2831" t="s">
        <v>13744</v>
      </c>
      <c r="F2831">
        <v>2002</v>
      </c>
      <c r="G2831" t="s">
        <v>13745</v>
      </c>
      <c r="H2831" t="s">
        <v>13746</v>
      </c>
      <c r="I2831" t="s">
        <v>13747</v>
      </c>
      <c r="J2831" t="s">
        <v>26</v>
      </c>
      <c r="K2831" t="s">
        <v>27</v>
      </c>
      <c r="L2831" t="b">
        <v>1</v>
      </c>
      <c r="M2831" t="s">
        <v>13748</v>
      </c>
      <c r="N2831" t="str">
        <f>"791.4302/33092;B"</f>
        <v>791.4302/33092;B</v>
      </c>
      <c r="O2831" t="s">
        <v>13749</v>
      </c>
      <c r="P2831" t="b">
        <v>0</v>
      </c>
      <c r="R2831" t="str">
        <f>"9781903047040"</f>
        <v>9781903047040</v>
      </c>
      <c r="S2831" t="str">
        <f>"9781848396807"</f>
        <v>9781848396807</v>
      </c>
      <c r="T2831">
        <v>318818266</v>
      </c>
    </row>
    <row r="2832" spans="1:20" x14ac:dyDescent="0.25">
      <c r="A2832">
        <v>266783</v>
      </c>
      <c r="B2832" t="s">
        <v>13750</v>
      </c>
      <c r="D2832" t="s">
        <v>12187</v>
      </c>
      <c r="E2832" t="s">
        <v>12187</v>
      </c>
      <c r="F2832">
        <v>2008</v>
      </c>
      <c r="H2832" t="s">
        <v>13751</v>
      </c>
      <c r="I2832" t="s">
        <v>13752</v>
      </c>
      <c r="J2832" t="s">
        <v>26</v>
      </c>
      <c r="K2832" t="s">
        <v>27</v>
      </c>
      <c r="L2832" t="b">
        <v>1</v>
      </c>
      <c r="M2832" t="s">
        <v>13753</v>
      </c>
      <c r="N2832" t="str">
        <f>"628.5"</f>
        <v>628.5</v>
      </c>
      <c r="P2832" t="b">
        <v>0</v>
      </c>
      <c r="R2832" t="str">
        <f>"9788122422863"</f>
        <v>9788122422863</v>
      </c>
      <c r="S2832" t="str">
        <f>"9788122425444"</f>
        <v>9788122425444</v>
      </c>
      <c r="T2832">
        <v>567990035</v>
      </c>
    </row>
    <row r="2833" spans="1:20" x14ac:dyDescent="0.25">
      <c r="A2833">
        <v>266775</v>
      </c>
      <c r="B2833" t="s">
        <v>13754</v>
      </c>
      <c r="D2833" t="s">
        <v>12187</v>
      </c>
      <c r="E2833" t="s">
        <v>12187</v>
      </c>
      <c r="F2833">
        <v>2008</v>
      </c>
      <c r="G2833" t="s">
        <v>8701</v>
      </c>
      <c r="H2833" t="s">
        <v>13755</v>
      </c>
      <c r="I2833" t="s">
        <v>13756</v>
      </c>
      <c r="J2833" t="s">
        <v>26</v>
      </c>
      <c r="K2833" t="s">
        <v>27</v>
      </c>
      <c r="L2833" t="b">
        <v>1</v>
      </c>
      <c r="M2833" t="s">
        <v>12741</v>
      </c>
      <c r="N2833" t="str">
        <f>"572/.076"</f>
        <v>572/.076</v>
      </c>
      <c r="P2833" t="b">
        <v>0</v>
      </c>
      <c r="R2833" t="str">
        <f>"9788122423570"</f>
        <v>9788122423570</v>
      </c>
      <c r="S2833" t="str">
        <f>"9788122426274"</f>
        <v>9788122426274</v>
      </c>
      <c r="T2833">
        <v>317410190</v>
      </c>
    </row>
    <row r="2834" spans="1:20" x14ac:dyDescent="0.25">
      <c r="A2834">
        <v>266774</v>
      </c>
      <c r="B2834" t="s">
        <v>13757</v>
      </c>
      <c r="D2834" t="s">
        <v>12187</v>
      </c>
      <c r="E2834" t="s">
        <v>12187</v>
      </c>
      <c r="F2834">
        <v>2008</v>
      </c>
      <c r="G2834" t="s">
        <v>13758</v>
      </c>
      <c r="H2834" t="s">
        <v>13759</v>
      </c>
      <c r="I2834" t="s">
        <v>13760</v>
      </c>
      <c r="J2834" t="s">
        <v>26</v>
      </c>
      <c r="K2834" t="s">
        <v>27</v>
      </c>
      <c r="L2834" t="b">
        <v>1</v>
      </c>
      <c r="M2834" t="s">
        <v>13761</v>
      </c>
      <c r="N2834" t="str">
        <f>"658.5"</f>
        <v>658.5</v>
      </c>
      <c r="P2834" t="b">
        <v>0</v>
      </c>
      <c r="R2834" t="str">
        <f>"9788122420999"</f>
        <v>9788122420999</v>
      </c>
      <c r="S2834" t="str">
        <f>"9788122425543"</f>
        <v>9788122425543</v>
      </c>
      <c r="T2834">
        <v>317410097</v>
      </c>
    </row>
    <row r="2835" spans="1:20" x14ac:dyDescent="0.25">
      <c r="A2835">
        <v>266715</v>
      </c>
      <c r="B2835" t="s">
        <v>13762</v>
      </c>
      <c r="D2835" t="s">
        <v>10883</v>
      </c>
      <c r="E2835" t="s">
        <v>10884</v>
      </c>
      <c r="F2835">
        <v>2006</v>
      </c>
      <c r="G2835" t="s">
        <v>7758</v>
      </c>
      <c r="H2835" t="s">
        <v>13763</v>
      </c>
      <c r="I2835" t="s">
        <v>13764</v>
      </c>
      <c r="J2835" t="s">
        <v>26</v>
      </c>
      <c r="K2835" t="s">
        <v>27</v>
      </c>
      <c r="L2835" t="b">
        <v>1</v>
      </c>
      <c r="M2835" t="s">
        <v>13765</v>
      </c>
      <c r="N2835" t="str">
        <f>"616.85/882"</f>
        <v>616.85/882</v>
      </c>
      <c r="P2835" t="b">
        <v>0</v>
      </c>
      <c r="R2835" t="str">
        <f>"9780972468282"</f>
        <v>9780972468282</v>
      </c>
      <c r="S2835" t="str">
        <f>"9781605571553"</f>
        <v>9781605571553</v>
      </c>
      <c r="T2835">
        <v>318130039</v>
      </c>
    </row>
    <row r="2836" spans="1:20" x14ac:dyDescent="0.25">
      <c r="A2836">
        <v>265999</v>
      </c>
      <c r="B2836" t="s">
        <v>13766</v>
      </c>
      <c r="D2836" t="s">
        <v>226</v>
      </c>
      <c r="E2836" t="s">
        <v>226</v>
      </c>
      <c r="F2836">
        <v>2008</v>
      </c>
      <c r="G2836" t="s">
        <v>197</v>
      </c>
      <c r="H2836" t="s">
        <v>13767</v>
      </c>
      <c r="I2836" t="s">
        <v>13768</v>
      </c>
      <c r="J2836" t="s">
        <v>26</v>
      </c>
      <c r="K2836" t="s">
        <v>27</v>
      </c>
      <c r="L2836" t="b">
        <v>1</v>
      </c>
      <c r="M2836" t="s">
        <v>13769</v>
      </c>
      <c r="N2836" t="str">
        <f>"790.1/32;B"</f>
        <v>790.1/32;B</v>
      </c>
      <c r="P2836" t="b">
        <v>0</v>
      </c>
      <c r="Q2836" t="b">
        <v>0</v>
      </c>
      <c r="R2836" t="str">
        <f>"9780226437002"</f>
        <v>9780226437002</v>
      </c>
      <c r="S2836" t="str">
        <f>"9780226437095"</f>
        <v>9780226437095</v>
      </c>
      <c r="T2836">
        <v>313141478</v>
      </c>
    </row>
    <row r="2837" spans="1:20" x14ac:dyDescent="0.25">
      <c r="A2837">
        <v>263307</v>
      </c>
      <c r="B2837" t="s">
        <v>13770</v>
      </c>
      <c r="C2837" t="s">
        <v>13771</v>
      </c>
      <c r="D2837" t="s">
        <v>131</v>
      </c>
      <c r="E2837" t="s">
        <v>1885</v>
      </c>
      <c r="F2837">
        <v>2009</v>
      </c>
      <c r="G2837" t="s">
        <v>8927</v>
      </c>
      <c r="H2837" t="s">
        <v>13772</v>
      </c>
      <c r="I2837" t="s">
        <v>13773</v>
      </c>
      <c r="J2837" t="s">
        <v>26</v>
      </c>
      <c r="K2837" t="s">
        <v>86</v>
      </c>
      <c r="L2837" t="b">
        <v>1</v>
      </c>
      <c r="M2837" t="s">
        <v>13774</v>
      </c>
      <c r="N2837" t="str">
        <f>"323.1196/073"</f>
        <v>323.1196/073</v>
      </c>
      <c r="P2837" t="b">
        <v>0</v>
      </c>
      <c r="Q2837" t="b">
        <v>0</v>
      </c>
      <c r="R2837" t="str">
        <f>"9781578591923"</f>
        <v>9781578591923</v>
      </c>
      <c r="S2837" t="str">
        <f>"9781578592319"</f>
        <v>9781578592319</v>
      </c>
      <c r="T2837">
        <v>311605266</v>
      </c>
    </row>
    <row r="2838" spans="1:20" x14ac:dyDescent="0.25">
      <c r="A2838">
        <v>263232</v>
      </c>
      <c r="B2838" t="s">
        <v>13775</v>
      </c>
      <c r="D2838" t="s">
        <v>255</v>
      </c>
      <c r="E2838" t="s">
        <v>13776</v>
      </c>
      <c r="F2838">
        <v>2002</v>
      </c>
      <c r="G2838" t="s">
        <v>13777</v>
      </c>
      <c r="H2838" t="s">
        <v>13778</v>
      </c>
      <c r="I2838" t="s">
        <v>13779</v>
      </c>
      <c r="J2838" t="s">
        <v>26</v>
      </c>
      <c r="K2838" t="s">
        <v>27</v>
      </c>
      <c r="L2838" t="b">
        <v>1</v>
      </c>
      <c r="M2838" t="s">
        <v>13780</v>
      </c>
      <c r="N2838" t="str">
        <f>"823/.914"</f>
        <v>823/.914</v>
      </c>
      <c r="P2838" t="b">
        <v>1</v>
      </c>
      <c r="S2838" t="str">
        <f>"9781742191805"</f>
        <v>9781742191805</v>
      </c>
      <c r="T2838">
        <v>318194405</v>
      </c>
    </row>
    <row r="2839" spans="1:20" x14ac:dyDescent="0.25">
      <c r="A2839">
        <v>262323</v>
      </c>
      <c r="B2839" t="s">
        <v>13781</v>
      </c>
      <c r="C2839" t="s">
        <v>13782</v>
      </c>
      <c r="D2839" t="s">
        <v>1526</v>
      </c>
      <c r="E2839" t="s">
        <v>1526</v>
      </c>
      <c r="F2839">
        <v>2006</v>
      </c>
      <c r="G2839" t="s">
        <v>8643</v>
      </c>
      <c r="H2839" t="s">
        <v>13783</v>
      </c>
      <c r="I2839" t="s">
        <v>13784</v>
      </c>
      <c r="J2839" t="s">
        <v>26</v>
      </c>
      <c r="K2839" t="s">
        <v>27</v>
      </c>
      <c r="L2839" t="b">
        <v>1</v>
      </c>
      <c r="M2839" t="s">
        <v>13785</v>
      </c>
      <c r="N2839" t="str">
        <f>"005.75/85"</f>
        <v>005.75/85</v>
      </c>
      <c r="O2839" t="s">
        <v>8647</v>
      </c>
      <c r="P2839" t="b">
        <v>0</v>
      </c>
      <c r="R2839" t="str">
        <f>"9781904811091"</f>
        <v>9781904811091</v>
      </c>
      <c r="S2839" t="str">
        <f>"9781847190031"</f>
        <v>9781847190031</v>
      </c>
      <c r="T2839">
        <v>311274126</v>
      </c>
    </row>
    <row r="2840" spans="1:20" x14ac:dyDescent="0.25">
      <c r="A2840">
        <v>260512</v>
      </c>
      <c r="B2840" t="s">
        <v>13786</v>
      </c>
      <c r="C2840" t="s">
        <v>13787</v>
      </c>
      <c r="D2840" t="s">
        <v>226</v>
      </c>
      <c r="E2840" t="s">
        <v>226</v>
      </c>
      <c r="F2840">
        <v>2008</v>
      </c>
      <c r="G2840" t="s">
        <v>4359</v>
      </c>
      <c r="H2840" t="s">
        <v>13788</v>
      </c>
      <c r="I2840" t="s">
        <v>13789</v>
      </c>
      <c r="J2840" t="s">
        <v>26</v>
      </c>
      <c r="K2840" t="s">
        <v>27</v>
      </c>
      <c r="L2840" t="b">
        <v>1</v>
      </c>
      <c r="M2840" t="s">
        <v>13790</v>
      </c>
      <c r="N2840" t="str">
        <f>"712"</f>
        <v>712</v>
      </c>
      <c r="P2840" t="b">
        <v>0</v>
      </c>
      <c r="Q2840" t="b">
        <v>0</v>
      </c>
      <c r="R2840" t="str">
        <f>"9780226317892"</f>
        <v>9780226317892</v>
      </c>
      <c r="S2840" t="str">
        <f>"9780226317861"</f>
        <v>9780226317861</v>
      </c>
      <c r="T2840">
        <v>309099108</v>
      </c>
    </row>
    <row r="2841" spans="1:20" x14ac:dyDescent="0.25">
      <c r="A2841">
        <v>260335</v>
      </c>
      <c r="B2841" t="s">
        <v>13791</v>
      </c>
      <c r="C2841" t="s">
        <v>13792</v>
      </c>
      <c r="D2841" t="s">
        <v>10161</v>
      </c>
      <c r="E2841" t="s">
        <v>10161</v>
      </c>
      <c r="F2841">
        <v>2008</v>
      </c>
      <c r="G2841" t="s">
        <v>13793</v>
      </c>
      <c r="H2841" t="s">
        <v>13794</v>
      </c>
      <c r="I2841" t="s">
        <v>13795</v>
      </c>
      <c r="J2841" t="s">
        <v>26</v>
      </c>
      <c r="K2841" t="s">
        <v>27</v>
      </c>
      <c r="L2841" t="b">
        <v>1</v>
      </c>
      <c r="M2841" t="s">
        <v>13796</v>
      </c>
      <c r="N2841" t="str">
        <f>"300.72"</f>
        <v>300.72</v>
      </c>
      <c r="P2841" t="b">
        <v>0</v>
      </c>
      <c r="T2841">
        <v>301481601</v>
      </c>
    </row>
    <row r="2842" spans="1:20" x14ac:dyDescent="0.25">
      <c r="A2842">
        <v>260226</v>
      </c>
      <c r="B2842" t="s">
        <v>13797</v>
      </c>
      <c r="C2842" t="s">
        <v>13798</v>
      </c>
      <c r="D2842" t="s">
        <v>226</v>
      </c>
      <c r="E2842" t="s">
        <v>226</v>
      </c>
      <c r="F2842">
        <v>2006</v>
      </c>
      <c r="G2842" t="s">
        <v>2310</v>
      </c>
      <c r="H2842" t="s">
        <v>13799</v>
      </c>
      <c r="J2842" t="s">
        <v>26</v>
      </c>
      <c r="K2842" t="s">
        <v>27</v>
      </c>
      <c r="L2842" t="b">
        <v>1</v>
      </c>
      <c r="M2842" t="s">
        <v>13800</v>
      </c>
      <c r="N2842" t="str">
        <f>"851/.914"</f>
        <v>851/.914</v>
      </c>
      <c r="P2842" t="b">
        <v>0</v>
      </c>
      <c r="Q2842" t="b">
        <v>0</v>
      </c>
      <c r="R2842" t="str">
        <f>"9780226748788"</f>
        <v>9780226748788</v>
      </c>
      <c r="S2842" t="str">
        <f>"9780226748733"</f>
        <v>9780226748733</v>
      </c>
      <c r="T2842">
        <v>309295696</v>
      </c>
    </row>
    <row r="2843" spans="1:20" x14ac:dyDescent="0.25">
      <c r="A2843">
        <v>260199</v>
      </c>
      <c r="B2843" t="s">
        <v>13801</v>
      </c>
      <c r="C2843" t="s">
        <v>13802</v>
      </c>
      <c r="D2843" t="s">
        <v>226</v>
      </c>
      <c r="E2843" t="s">
        <v>226</v>
      </c>
      <c r="F2843">
        <v>2007</v>
      </c>
      <c r="G2843" t="s">
        <v>57</v>
      </c>
      <c r="H2843" t="s">
        <v>13803</v>
      </c>
      <c r="I2843" t="s">
        <v>13804</v>
      </c>
      <c r="J2843" t="s">
        <v>26</v>
      </c>
      <c r="K2843" t="s">
        <v>27</v>
      </c>
      <c r="L2843" t="b">
        <v>1</v>
      </c>
      <c r="M2843" t="s">
        <v>13805</v>
      </c>
      <c r="N2843" t="str">
        <f>"930.1"</f>
        <v>930.1</v>
      </c>
      <c r="P2843" t="b">
        <v>0</v>
      </c>
      <c r="Q2843" t="b">
        <v>0</v>
      </c>
      <c r="R2843" t="str">
        <f>"9780226450599"</f>
        <v>9780226450599</v>
      </c>
      <c r="S2843" t="str">
        <f>"9780226450643"</f>
        <v>9780226450643</v>
      </c>
      <c r="T2843">
        <v>309853888</v>
      </c>
    </row>
    <row r="2844" spans="1:20" x14ac:dyDescent="0.25">
      <c r="A2844">
        <v>260176</v>
      </c>
      <c r="B2844" t="s">
        <v>13806</v>
      </c>
      <c r="C2844" t="s">
        <v>13807</v>
      </c>
      <c r="D2844" t="s">
        <v>226</v>
      </c>
      <c r="E2844" t="s">
        <v>226</v>
      </c>
      <c r="F2844">
        <v>2007</v>
      </c>
      <c r="G2844" t="s">
        <v>2949</v>
      </c>
      <c r="H2844" t="s">
        <v>13808</v>
      </c>
      <c r="I2844" t="s">
        <v>13809</v>
      </c>
      <c r="J2844" t="s">
        <v>26</v>
      </c>
      <c r="K2844" t="s">
        <v>27</v>
      </c>
      <c r="L2844" t="b">
        <v>1</v>
      </c>
      <c r="M2844" t="s">
        <v>13810</v>
      </c>
      <c r="N2844" t="str">
        <f>"550.941/09034"</f>
        <v>550.941/09034</v>
      </c>
      <c r="P2844" t="b">
        <v>0</v>
      </c>
      <c r="Q2844" t="b">
        <v>0</v>
      </c>
      <c r="R2844" t="str">
        <f>"9780226616681"</f>
        <v>9780226616681</v>
      </c>
      <c r="S2844" t="str">
        <f>"9780226616704"</f>
        <v>9780226616704</v>
      </c>
      <c r="T2844">
        <v>316205189</v>
      </c>
    </row>
    <row r="2845" spans="1:20" x14ac:dyDescent="0.25">
      <c r="A2845">
        <v>260175</v>
      </c>
      <c r="B2845" t="s">
        <v>13811</v>
      </c>
      <c r="D2845" t="s">
        <v>226</v>
      </c>
      <c r="E2845" t="s">
        <v>226</v>
      </c>
      <c r="F2845">
        <v>2007</v>
      </c>
      <c r="G2845" t="s">
        <v>2949</v>
      </c>
      <c r="H2845" t="s">
        <v>13812</v>
      </c>
      <c r="I2845" t="s">
        <v>13813</v>
      </c>
      <c r="J2845" t="s">
        <v>26</v>
      </c>
      <c r="K2845" t="s">
        <v>27</v>
      </c>
      <c r="L2845" t="b">
        <v>1</v>
      </c>
      <c r="M2845" t="s">
        <v>13814</v>
      </c>
      <c r="N2845" t="str">
        <f>"540.1/12094"</f>
        <v>540.1/12094</v>
      </c>
      <c r="P2845" t="b">
        <v>0</v>
      </c>
      <c r="Q2845" t="b">
        <v>0</v>
      </c>
      <c r="R2845" t="str">
        <f>"9780226608563"</f>
        <v>9780226608563</v>
      </c>
      <c r="S2845" t="str">
        <f>"9780226608570"</f>
        <v>9780226608570</v>
      </c>
      <c r="T2845">
        <v>309906369</v>
      </c>
    </row>
    <row r="2846" spans="1:20" x14ac:dyDescent="0.25">
      <c r="A2846">
        <v>260062</v>
      </c>
      <c r="B2846" t="s">
        <v>13815</v>
      </c>
      <c r="C2846" t="s">
        <v>13816</v>
      </c>
      <c r="D2846" t="s">
        <v>226</v>
      </c>
      <c r="E2846" t="s">
        <v>226</v>
      </c>
      <c r="F2846">
        <v>2007</v>
      </c>
      <c r="G2846" t="s">
        <v>13817</v>
      </c>
      <c r="H2846" t="s">
        <v>13818</v>
      </c>
      <c r="I2846" t="s">
        <v>13819</v>
      </c>
      <c r="J2846" t="s">
        <v>26</v>
      </c>
      <c r="K2846" t="s">
        <v>27</v>
      </c>
      <c r="L2846" t="b">
        <v>1</v>
      </c>
      <c r="M2846" t="s">
        <v>13820</v>
      </c>
      <c r="N2846" t="str">
        <f>"796.357/8097471"</f>
        <v>796.357/8097471</v>
      </c>
      <c r="P2846" t="b">
        <v>0</v>
      </c>
      <c r="Q2846" t="b">
        <v>0</v>
      </c>
      <c r="R2846" t="str">
        <f>"9780226016665"</f>
        <v>9780226016665</v>
      </c>
      <c r="S2846" t="str">
        <f>"9780226016689"</f>
        <v>9780226016689</v>
      </c>
      <c r="T2846">
        <v>304458309</v>
      </c>
    </row>
    <row r="2847" spans="1:20" x14ac:dyDescent="0.25">
      <c r="A2847">
        <v>259921</v>
      </c>
      <c r="B2847" t="s">
        <v>13821</v>
      </c>
      <c r="D2847" t="s">
        <v>98</v>
      </c>
      <c r="E2847" t="s">
        <v>99</v>
      </c>
      <c r="F2847">
        <v>2009</v>
      </c>
      <c r="G2847" t="s">
        <v>4670</v>
      </c>
      <c r="H2847" t="s">
        <v>13822</v>
      </c>
      <c r="I2847" t="s">
        <v>13823</v>
      </c>
      <c r="J2847" t="s">
        <v>26</v>
      </c>
      <c r="K2847" t="s">
        <v>27</v>
      </c>
      <c r="L2847" t="b">
        <v>1</v>
      </c>
      <c r="M2847" t="s">
        <v>13824</v>
      </c>
      <c r="N2847" t="str">
        <f>"530"</f>
        <v>530</v>
      </c>
      <c r="P2847" t="b">
        <v>0</v>
      </c>
      <c r="R2847" t="str">
        <f>"9780199550166"</f>
        <v>9780199550166</v>
      </c>
      <c r="S2847" t="str">
        <f>"9780191563966"</f>
        <v>9780191563966</v>
      </c>
      <c r="T2847">
        <v>311297603</v>
      </c>
    </row>
    <row r="2848" spans="1:20" x14ac:dyDescent="0.25">
      <c r="A2848">
        <v>259747</v>
      </c>
      <c r="B2848" t="s">
        <v>13825</v>
      </c>
      <c r="D2848" t="s">
        <v>1364</v>
      </c>
      <c r="E2848" t="s">
        <v>1507</v>
      </c>
      <c r="F2848">
        <v>2004</v>
      </c>
      <c r="G2848" t="s">
        <v>1508</v>
      </c>
      <c r="H2848" t="s">
        <v>13826</v>
      </c>
      <c r="I2848" t="s">
        <v>13827</v>
      </c>
      <c r="J2848" t="s">
        <v>26</v>
      </c>
      <c r="K2848" t="s">
        <v>27</v>
      </c>
      <c r="L2848" t="b">
        <v>1</v>
      </c>
      <c r="M2848" t="s">
        <v>13828</v>
      </c>
      <c r="N2848" t="str">
        <f>"658.4/038"</f>
        <v>658.4/038</v>
      </c>
      <c r="P2848" t="b">
        <v>0</v>
      </c>
      <c r="R2848" t="str">
        <f>"9783598116384"</f>
        <v>9783598116384</v>
      </c>
      <c r="S2848" t="str">
        <f>"9783598440090"</f>
        <v>9783598440090</v>
      </c>
      <c r="T2848">
        <v>319956006</v>
      </c>
    </row>
    <row r="2849" spans="1:20" x14ac:dyDescent="0.25">
      <c r="A2849">
        <v>259653</v>
      </c>
      <c r="B2849" t="s">
        <v>13829</v>
      </c>
      <c r="C2849" t="s">
        <v>13830</v>
      </c>
      <c r="D2849" t="s">
        <v>1364</v>
      </c>
      <c r="E2849" t="s">
        <v>1364</v>
      </c>
      <c r="F2849">
        <v>2002</v>
      </c>
      <c r="G2849" t="s">
        <v>182</v>
      </c>
      <c r="H2849" t="s">
        <v>13831</v>
      </c>
      <c r="J2849" t="s">
        <v>7790</v>
      </c>
      <c r="K2849" t="s">
        <v>27</v>
      </c>
      <c r="L2849" t="b">
        <v>1</v>
      </c>
      <c r="M2849" t="s">
        <v>13832</v>
      </c>
      <c r="N2849" t="str">
        <f>"281.9/499"</f>
        <v>281.9/499</v>
      </c>
      <c r="O2849" t="s">
        <v>13833</v>
      </c>
      <c r="P2849" t="b">
        <v>0</v>
      </c>
      <c r="R2849" t="str">
        <f>"9783110156126"</f>
        <v>9783110156126</v>
      </c>
      <c r="S2849" t="str">
        <f>"9783110204506"</f>
        <v>9783110204506</v>
      </c>
      <c r="T2849">
        <v>319865492</v>
      </c>
    </row>
    <row r="2850" spans="1:20" x14ac:dyDescent="0.25">
      <c r="A2850">
        <v>258356</v>
      </c>
      <c r="B2850" t="s">
        <v>13834</v>
      </c>
      <c r="D2850" t="s">
        <v>12187</v>
      </c>
      <c r="E2850" t="s">
        <v>12187</v>
      </c>
      <c r="F2850">
        <v>2007</v>
      </c>
      <c r="G2850" t="s">
        <v>8354</v>
      </c>
      <c r="H2850" t="s">
        <v>13835</v>
      </c>
      <c r="I2850" t="s">
        <v>13836</v>
      </c>
      <c r="J2850" t="s">
        <v>26</v>
      </c>
      <c r="K2850" t="s">
        <v>27</v>
      </c>
      <c r="L2850" t="b">
        <v>1</v>
      </c>
      <c r="M2850" t="s">
        <v>13837</v>
      </c>
      <c r="N2850" t="str">
        <f>"660.6"</f>
        <v>660.6</v>
      </c>
      <c r="P2850" t="b">
        <v>0</v>
      </c>
      <c r="R2850" t="str">
        <f>"9788122420852"</f>
        <v>9788122420852</v>
      </c>
      <c r="S2850" t="str">
        <f>"9788122422481"</f>
        <v>9788122422481</v>
      </c>
      <c r="T2850">
        <v>310971621</v>
      </c>
    </row>
    <row r="2851" spans="1:20" x14ac:dyDescent="0.25">
      <c r="A2851">
        <v>258333</v>
      </c>
      <c r="B2851" t="s">
        <v>13838</v>
      </c>
      <c r="D2851" t="s">
        <v>12187</v>
      </c>
      <c r="E2851" t="s">
        <v>12187</v>
      </c>
      <c r="F2851">
        <v>2007</v>
      </c>
      <c r="G2851" t="s">
        <v>1459</v>
      </c>
      <c r="H2851" t="s">
        <v>13839</v>
      </c>
      <c r="I2851" t="s">
        <v>13840</v>
      </c>
      <c r="J2851" t="s">
        <v>26</v>
      </c>
      <c r="K2851" t="s">
        <v>27</v>
      </c>
      <c r="L2851" t="b">
        <v>1</v>
      </c>
      <c r="M2851" t="s">
        <v>13841</v>
      </c>
      <c r="N2851" t="str">
        <f>"536/.7/02/4/669"</f>
        <v>536/.7/02/4/669</v>
      </c>
      <c r="P2851" t="b">
        <v>0</v>
      </c>
      <c r="R2851" t="str">
        <f>"9788122419788"</f>
        <v>9788122419788</v>
      </c>
      <c r="S2851" t="str">
        <f>"9788122422931"</f>
        <v>9788122422931</v>
      </c>
      <c r="T2851">
        <v>310754352</v>
      </c>
    </row>
    <row r="2852" spans="1:20" x14ac:dyDescent="0.25">
      <c r="A2852">
        <v>258303</v>
      </c>
      <c r="B2852" t="s">
        <v>13842</v>
      </c>
      <c r="D2852" t="s">
        <v>12187</v>
      </c>
      <c r="E2852" t="s">
        <v>12187</v>
      </c>
      <c r="F2852">
        <v>2008</v>
      </c>
      <c r="G2852" t="s">
        <v>13843</v>
      </c>
      <c r="H2852" t="s">
        <v>13844</v>
      </c>
      <c r="I2852" t="s">
        <v>13845</v>
      </c>
      <c r="J2852" t="s">
        <v>26</v>
      </c>
      <c r="K2852" t="s">
        <v>27</v>
      </c>
      <c r="L2852" t="b">
        <v>1</v>
      </c>
      <c r="M2852" t="s">
        <v>13330</v>
      </c>
      <c r="N2852" t="str">
        <f>"553.2/0954"</f>
        <v>553.2/0954</v>
      </c>
      <c r="P2852" t="b">
        <v>0</v>
      </c>
      <c r="R2852" t="str">
        <f>"9788122418033"</f>
        <v>9788122418033</v>
      </c>
      <c r="S2852" t="str">
        <f>"9788122423174"</f>
        <v>9788122423174</v>
      </c>
      <c r="T2852">
        <v>308395046</v>
      </c>
    </row>
    <row r="2853" spans="1:20" x14ac:dyDescent="0.25">
      <c r="A2853">
        <v>258210</v>
      </c>
      <c r="B2853" t="s">
        <v>13846</v>
      </c>
      <c r="C2853" t="s">
        <v>13053</v>
      </c>
      <c r="D2853" t="s">
        <v>13054</v>
      </c>
      <c r="E2853" t="s">
        <v>13055</v>
      </c>
      <c r="F2853">
        <v>2008</v>
      </c>
      <c r="G2853" t="s">
        <v>8669</v>
      </c>
      <c r="H2853" t="s">
        <v>13847</v>
      </c>
      <c r="I2853" t="s">
        <v>13848</v>
      </c>
      <c r="J2853" t="s">
        <v>26</v>
      </c>
      <c r="K2853" t="s">
        <v>27</v>
      </c>
      <c r="L2853" t="b">
        <v>1</v>
      </c>
      <c r="M2853" t="s">
        <v>13849</v>
      </c>
      <c r="N2853" t="str">
        <f>"616.99449"</f>
        <v>616.99449</v>
      </c>
      <c r="P2853" t="b">
        <v>0</v>
      </c>
      <c r="R2853" t="str">
        <f>"9781904392958"</f>
        <v>9781904392958</v>
      </c>
      <c r="S2853" t="str">
        <f>"9781846925894"</f>
        <v>9781846925894</v>
      </c>
      <c r="T2853">
        <v>304398315</v>
      </c>
    </row>
    <row r="2854" spans="1:20" x14ac:dyDescent="0.25">
      <c r="A2854">
        <v>258209</v>
      </c>
      <c r="B2854" t="s">
        <v>13850</v>
      </c>
      <c r="D2854" t="s">
        <v>13054</v>
      </c>
      <c r="E2854" t="s">
        <v>13055</v>
      </c>
      <c r="F2854">
        <v>2008</v>
      </c>
      <c r="G2854" t="s">
        <v>13851</v>
      </c>
      <c r="H2854" t="s">
        <v>13852</v>
      </c>
      <c r="I2854" t="s">
        <v>13853</v>
      </c>
      <c r="J2854" t="s">
        <v>26</v>
      </c>
      <c r="K2854" t="s">
        <v>27</v>
      </c>
      <c r="L2854" t="b">
        <v>1</v>
      </c>
      <c r="M2854" t="s">
        <v>13854</v>
      </c>
      <c r="N2854" t="str">
        <f>"616.97"</f>
        <v>616.97</v>
      </c>
      <c r="P2854" t="b">
        <v>0</v>
      </c>
      <c r="R2854" t="str">
        <f>"9781846920257"</f>
        <v>9781846920257</v>
      </c>
      <c r="S2854" t="str">
        <f>"9781846925931"</f>
        <v>9781846925931</v>
      </c>
      <c r="T2854">
        <v>304398291</v>
      </c>
    </row>
    <row r="2855" spans="1:20" x14ac:dyDescent="0.25">
      <c r="A2855">
        <v>258208</v>
      </c>
      <c r="B2855" t="s">
        <v>13855</v>
      </c>
      <c r="C2855" t="s">
        <v>13856</v>
      </c>
      <c r="D2855" t="s">
        <v>13054</v>
      </c>
      <c r="E2855" t="s">
        <v>13055</v>
      </c>
      <c r="F2855">
        <v>2007</v>
      </c>
      <c r="G2855" t="s">
        <v>8669</v>
      </c>
      <c r="H2855" t="s">
        <v>13857</v>
      </c>
      <c r="I2855" t="s">
        <v>13858</v>
      </c>
      <c r="J2855" t="s">
        <v>26</v>
      </c>
      <c r="K2855" t="s">
        <v>27</v>
      </c>
      <c r="L2855" t="b">
        <v>1</v>
      </c>
      <c r="M2855" t="s">
        <v>13859</v>
      </c>
      <c r="N2855" t="str">
        <f>"616.99442"</f>
        <v>616.99442</v>
      </c>
      <c r="P2855" t="b">
        <v>0</v>
      </c>
      <c r="R2855" t="str">
        <f>"9781904392675"</f>
        <v>9781904392675</v>
      </c>
      <c r="S2855" t="str">
        <f>"9781846925849"</f>
        <v>9781846925849</v>
      </c>
      <c r="T2855">
        <v>304341827</v>
      </c>
    </row>
    <row r="2856" spans="1:20" x14ac:dyDescent="0.25">
      <c r="A2856">
        <v>258206</v>
      </c>
      <c r="B2856" t="s">
        <v>13860</v>
      </c>
      <c r="C2856" t="s">
        <v>13053</v>
      </c>
      <c r="D2856" t="s">
        <v>13054</v>
      </c>
      <c r="E2856" t="s">
        <v>13055</v>
      </c>
      <c r="F2856">
        <v>2008</v>
      </c>
      <c r="G2856" t="s">
        <v>7429</v>
      </c>
      <c r="H2856" t="s">
        <v>13861</v>
      </c>
      <c r="I2856" t="s">
        <v>13862</v>
      </c>
      <c r="J2856" t="s">
        <v>26</v>
      </c>
      <c r="K2856" t="s">
        <v>27</v>
      </c>
      <c r="L2856" t="b">
        <v>1</v>
      </c>
      <c r="M2856" t="s">
        <v>13863</v>
      </c>
      <c r="N2856" t="str">
        <f>"616.716"</f>
        <v>616.716</v>
      </c>
      <c r="P2856" t="b">
        <v>0</v>
      </c>
      <c r="R2856" t="str">
        <f>"9781904392262"</f>
        <v>9781904392262</v>
      </c>
      <c r="S2856" t="str">
        <f>"9781846925351"</f>
        <v>9781846925351</v>
      </c>
      <c r="T2856">
        <v>304341771</v>
      </c>
    </row>
    <row r="2857" spans="1:20" x14ac:dyDescent="0.25">
      <c r="A2857">
        <v>258196</v>
      </c>
      <c r="B2857" t="s">
        <v>13864</v>
      </c>
      <c r="D2857" t="s">
        <v>1526</v>
      </c>
      <c r="E2857" t="s">
        <v>1526</v>
      </c>
      <c r="F2857">
        <v>2005</v>
      </c>
      <c r="G2857" t="s">
        <v>10343</v>
      </c>
      <c r="H2857" t="s">
        <v>13865</v>
      </c>
      <c r="I2857" t="s">
        <v>13866</v>
      </c>
      <c r="J2857" t="s">
        <v>26</v>
      </c>
      <c r="K2857" t="s">
        <v>27</v>
      </c>
      <c r="L2857" t="b">
        <v>1</v>
      </c>
      <c r="M2857" t="s">
        <v>13867</v>
      </c>
      <c r="N2857" t="str">
        <f>"006.76"</f>
        <v>006.76</v>
      </c>
      <c r="O2857" t="s">
        <v>8647</v>
      </c>
      <c r="P2857" t="b">
        <v>0</v>
      </c>
      <c r="R2857" t="str">
        <f>"9781904811053"</f>
        <v>9781904811053</v>
      </c>
      <c r="S2857" t="str">
        <f>"9781904811473"</f>
        <v>9781904811473</v>
      </c>
      <c r="T2857">
        <v>303646613</v>
      </c>
    </row>
    <row r="2858" spans="1:20" x14ac:dyDescent="0.25">
      <c r="A2858">
        <v>258002</v>
      </c>
      <c r="B2858" t="s">
        <v>13868</v>
      </c>
      <c r="C2858" t="s">
        <v>13869</v>
      </c>
      <c r="D2858" t="s">
        <v>1526</v>
      </c>
      <c r="E2858" t="s">
        <v>1526</v>
      </c>
      <c r="F2858">
        <v>2005</v>
      </c>
      <c r="G2858" t="s">
        <v>10343</v>
      </c>
      <c r="H2858" t="s">
        <v>13870</v>
      </c>
      <c r="I2858" t="s">
        <v>13871</v>
      </c>
      <c r="J2858" t="s">
        <v>26</v>
      </c>
      <c r="K2858" t="s">
        <v>27</v>
      </c>
      <c r="L2858" t="b">
        <v>1</v>
      </c>
      <c r="M2858" t="s">
        <v>13872</v>
      </c>
      <c r="N2858" t="str">
        <f>"006.76"</f>
        <v>006.76</v>
      </c>
      <c r="P2858" t="b">
        <v>0</v>
      </c>
      <c r="R2858" t="str">
        <f>"9781904811572"</f>
        <v>9781904811572</v>
      </c>
      <c r="S2858" t="str">
        <f>"9781847190437"</f>
        <v>9781847190437</v>
      </c>
      <c r="T2858">
        <v>302340762</v>
      </c>
    </row>
    <row r="2859" spans="1:20" x14ac:dyDescent="0.25">
      <c r="A2859">
        <v>257945</v>
      </c>
      <c r="B2859" t="s">
        <v>13873</v>
      </c>
      <c r="D2859" t="s">
        <v>5731</v>
      </c>
      <c r="E2859" t="s">
        <v>6240</v>
      </c>
      <c r="F2859">
        <v>2004</v>
      </c>
      <c r="G2859" t="s">
        <v>7671</v>
      </c>
      <c r="H2859" t="s">
        <v>13874</v>
      </c>
      <c r="I2859" t="s">
        <v>13875</v>
      </c>
      <c r="J2859" t="s">
        <v>26</v>
      </c>
      <c r="K2859" t="s">
        <v>86</v>
      </c>
      <c r="L2859" t="b">
        <v>1</v>
      </c>
      <c r="M2859" t="s">
        <v>13876</v>
      </c>
      <c r="N2859" t="str">
        <f>"930/.049199/003"</f>
        <v>930/.049199/003</v>
      </c>
      <c r="O2859" t="s">
        <v>13877</v>
      </c>
      <c r="P2859" t="b">
        <v>0</v>
      </c>
      <c r="R2859" t="str">
        <f>"9780810849365"</f>
        <v>9780810849365</v>
      </c>
      <c r="S2859" t="str">
        <f>"9780810865648"</f>
        <v>9780810865648</v>
      </c>
      <c r="T2859">
        <v>307478876</v>
      </c>
    </row>
    <row r="2860" spans="1:20" x14ac:dyDescent="0.25">
      <c r="A2860">
        <v>257917</v>
      </c>
      <c r="B2860" t="s">
        <v>13878</v>
      </c>
      <c r="D2860" t="s">
        <v>5731</v>
      </c>
      <c r="E2860" t="s">
        <v>6240</v>
      </c>
      <c r="F2860">
        <v>2006</v>
      </c>
      <c r="G2860" t="s">
        <v>182</v>
      </c>
      <c r="H2860" t="s">
        <v>13879</v>
      </c>
      <c r="I2860" t="s">
        <v>13880</v>
      </c>
      <c r="J2860" t="s">
        <v>26</v>
      </c>
      <c r="K2860" t="s">
        <v>86</v>
      </c>
      <c r="L2860" t="b">
        <v>1</v>
      </c>
      <c r="M2860" t="s">
        <v>13881</v>
      </c>
      <c r="N2860" t="str">
        <f>"959.003"</f>
        <v>959.003</v>
      </c>
      <c r="O2860" t="s">
        <v>11055</v>
      </c>
      <c r="P2860" t="b">
        <v>0</v>
      </c>
      <c r="R2860" t="str">
        <f>"9780810854666"</f>
        <v>9780810854666</v>
      </c>
      <c r="S2860" t="str">
        <f>"9780810865037"</f>
        <v>9780810865037</v>
      </c>
      <c r="T2860">
        <v>299167772</v>
      </c>
    </row>
    <row r="2861" spans="1:20" x14ac:dyDescent="0.25">
      <c r="A2861">
        <v>257915</v>
      </c>
      <c r="B2861" t="s">
        <v>13882</v>
      </c>
      <c r="D2861" t="s">
        <v>5731</v>
      </c>
      <c r="E2861" t="s">
        <v>6240</v>
      </c>
      <c r="F2861">
        <v>2003</v>
      </c>
      <c r="G2861" t="s">
        <v>13883</v>
      </c>
      <c r="H2861" t="s">
        <v>13884</v>
      </c>
      <c r="J2861" t="s">
        <v>26</v>
      </c>
      <c r="K2861" t="s">
        <v>86</v>
      </c>
      <c r="L2861" t="b">
        <v>1</v>
      </c>
      <c r="M2861" t="s">
        <v>13885</v>
      </c>
      <c r="N2861" t="str">
        <f>"956/.015/03"</f>
        <v>956/.015/03</v>
      </c>
      <c r="O2861" t="s">
        <v>13886</v>
      </c>
      <c r="P2861" t="b">
        <v>0</v>
      </c>
      <c r="R2861" t="str">
        <f>"9780810843325"</f>
        <v>9780810843325</v>
      </c>
      <c r="S2861" t="str">
        <f>"9780810866065"</f>
        <v>9780810866065</v>
      </c>
      <c r="T2861">
        <v>665827987</v>
      </c>
    </row>
    <row r="2862" spans="1:20" x14ac:dyDescent="0.25">
      <c r="A2862">
        <v>257911</v>
      </c>
      <c r="B2862" t="s">
        <v>13887</v>
      </c>
      <c r="D2862" t="s">
        <v>5731</v>
      </c>
      <c r="E2862" t="s">
        <v>6240</v>
      </c>
      <c r="F2862">
        <v>2007</v>
      </c>
      <c r="G2862" t="s">
        <v>1632</v>
      </c>
      <c r="H2862" t="s">
        <v>13888</v>
      </c>
      <c r="J2862" t="s">
        <v>26</v>
      </c>
      <c r="K2862" t="s">
        <v>86</v>
      </c>
      <c r="L2862" t="b">
        <v>1</v>
      </c>
      <c r="M2862" t="s">
        <v>13889</v>
      </c>
      <c r="N2862" t="str">
        <f>"949.2003"</f>
        <v>949.2003</v>
      </c>
      <c r="O2862" t="s">
        <v>11353</v>
      </c>
      <c r="P2862" t="b">
        <v>0</v>
      </c>
      <c r="R2862" t="str">
        <f>"9780810856271"</f>
        <v>9780810856271</v>
      </c>
      <c r="S2862" t="str">
        <f>"9780810864443"</f>
        <v>9780810864443</v>
      </c>
      <c r="T2862">
        <v>299167710</v>
      </c>
    </row>
    <row r="2863" spans="1:20" x14ac:dyDescent="0.25">
      <c r="A2863">
        <v>257910</v>
      </c>
      <c r="B2863" t="s">
        <v>13890</v>
      </c>
      <c r="D2863" t="s">
        <v>5731</v>
      </c>
      <c r="E2863" t="s">
        <v>6240</v>
      </c>
      <c r="F2863">
        <v>2007</v>
      </c>
      <c r="G2863" t="s">
        <v>1632</v>
      </c>
      <c r="H2863" t="s">
        <v>13891</v>
      </c>
      <c r="J2863" t="s">
        <v>26</v>
      </c>
      <c r="K2863" t="s">
        <v>86</v>
      </c>
      <c r="L2863" t="b">
        <v>1</v>
      </c>
      <c r="M2863" t="s">
        <v>13892</v>
      </c>
      <c r="N2863" t="str">
        <f>"949.4003"</f>
        <v>949.4003</v>
      </c>
      <c r="O2863" t="s">
        <v>11353</v>
      </c>
      <c r="P2863" t="b">
        <v>0</v>
      </c>
      <c r="R2863" t="str">
        <f>"9780810849310"</f>
        <v>9780810849310</v>
      </c>
      <c r="S2863" t="str">
        <f>"9780810864474"</f>
        <v>9780810864474</v>
      </c>
      <c r="T2863">
        <v>299166816</v>
      </c>
    </row>
    <row r="2864" spans="1:20" x14ac:dyDescent="0.25">
      <c r="A2864">
        <v>257905</v>
      </c>
      <c r="B2864" t="s">
        <v>13893</v>
      </c>
      <c r="D2864" t="s">
        <v>5731</v>
      </c>
      <c r="E2864" t="s">
        <v>6240</v>
      </c>
      <c r="F2864">
        <v>2005</v>
      </c>
      <c r="G2864" t="s">
        <v>6241</v>
      </c>
      <c r="H2864" t="s">
        <v>13894</v>
      </c>
      <c r="J2864" t="s">
        <v>26</v>
      </c>
      <c r="K2864" t="s">
        <v>86</v>
      </c>
      <c r="L2864" t="b">
        <v>1</v>
      </c>
      <c r="M2864" t="s">
        <v>13895</v>
      </c>
      <c r="N2864" t="str">
        <f>"964/.003"</f>
        <v>964/.003</v>
      </c>
      <c r="O2864" t="s">
        <v>10537</v>
      </c>
      <c r="P2864" t="b">
        <v>0</v>
      </c>
      <c r="R2864" t="str">
        <f>"9780810853416"</f>
        <v>9780810853416</v>
      </c>
      <c r="S2864" t="str">
        <f>"9780810865112"</f>
        <v>9780810865112</v>
      </c>
      <c r="T2864">
        <v>301355709</v>
      </c>
    </row>
    <row r="2865" spans="1:20" x14ac:dyDescent="0.25">
      <c r="A2865">
        <v>257892</v>
      </c>
      <c r="B2865" t="s">
        <v>13896</v>
      </c>
      <c r="D2865" t="s">
        <v>5731</v>
      </c>
      <c r="E2865" t="s">
        <v>6240</v>
      </c>
      <c r="F2865">
        <v>2004</v>
      </c>
      <c r="G2865" t="s">
        <v>3705</v>
      </c>
      <c r="H2865" t="s">
        <v>13897</v>
      </c>
      <c r="J2865" t="s">
        <v>26</v>
      </c>
      <c r="K2865" t="s">
        <v>86</v>
      </c>
      <c r="L2865" t="b">
        <v>1</v>
      </c>
      <c r="M2865" t="s">
        <v>13898</v>
      </c>
      <c r="N2865" t="str">
        <f>"947.98/003"</f>
        <v>947.98/003</v>
      </c>
      <c r="O2865" t="s">
        <v>13899</v>
      </c>
      <c r="P2865" t="b">
        <v>0</v>
      </c>
      <c r="R2865" t="str">
        <f>"9780810849044"</f>
        <v>9780810849044</v>
      </c>
      <c r="S2865" t="str">
        <f>"9780810865716"</f>
        <v>9780810865716</v>
      </c>
      <c r="T2865">
        <v>694772538</v>
      </c>
    </row>
    <row r="2866" spans="1:20" x14ac:dyDescent="0.25">
      <c r="A2866">
        <v>257882</v>
      </c>
      <c r="B2866" t="s">
        <v>13900</v>
      </c>
      <c r="D2866" t="s">
        <v>5731</v>
      </c>
      <c r="E2866" t="s">
        <v>6240</v>
      </c>
      <c r="F2866">
        <v>2005</v>
      </c>
      <c r="G2866" t="s">
        <v>712</v>
      </c>
      <c r="H2866" t="s">
        <v>13901</v>
      </c>
      <c r="I2866" t="s">
        <v>13902</v>
      </c>
      <c r="J2866" t="s">
        <v>26</v>
      </c>
      <c r="K2866" t="s">
        <v>86</v>
      </c>
      <c r="L2866" t="b">
        <v>1</v>
      </c>
      <c r="M2866" t="s">
        <v>13903</v>
      </c>
      <c r="N2866" t="str">
        <f>"791.43/0994/03"</f>
        <v>791.43/0994/03</v>
      </c>
      <c r="O2866" t="s">
        <v>7775</v>
      </c>
      <c r="P2866" t="b">
        <v>0</v>
      </c>
      <c r="R2866" t="str">
        <f>"9780810854598"</f>
        <v>9780810854598</v>
      </c>
      <c r="S2866" t="str">
        <f>"9780810865273"</f>
        <v>9780810865273</v>
      </c>
      <c r="T2866">
        <v>700466797</v>
      </c>
    </row>
    <row r="2867" spans="1:20" x14ac:dyDescent="0.25">
      <c r="A2867">
        <v>257880</v>
      </c>
      <c r="B2867" t="s">
        <v>10534</v>
      </c>
      <c r="D2867" t="s">
        <v>5731</v>
      </c>
      <c r="E2867" t="s">
        <v>6240</v>
      </c>
      <c r="F2867">
        <v>2004</v>
      </c>
      <c r="G2867" t="s">
        <v>6241</v>
      </c>
      <c r="H2867" t="s">
        <v>13904</v>
      </c>
      <c r="J2867" t="s">
        <v>26</v>
      </c>
      <c r="K2867" t="s">
        <v>27</v>
      </c>
      <c r="L2867" t="b">
        <v>1</v>
      </c>
      <c r="M2867" t="s">
        <v>13905</v>
      </c>
      <c r="N2867" t="str">
        <f>"967.3/003"</f>
        <v>967.3/003</v>
      </c>
      <c r="O2867" t="s">
        <v>10537</v>
      </c>
      <c r="P2867" t="b">
        <v>0</v>
      </c>
      <c r="R2867" t="str">
        <f>"9780810849402"</f>
        <v>9780810849402</v>
      </c>
      <c r="S2867" t="str">
        <f>"9780810865600"</f>
        <v>9780810865600</v>
      </c>
      <c r="T2867">
        <v>694787199</v>
      </c>
    </row>
    <row r="2868" spans="1:20" x14ac:dyDescent="0.25">
      <c r="A2868">
        <v>253119</v>
      </c>
      <c r="B2868" t="s">
        <v>13906</v>
      </c>
      <c r="C2868" t="s">
        <v>13907</v>
      </c>
      <c r="D2868" t="s">
        <v>8737</v>
      </c>
      <c r="E2868" t="s">
        <v>8737</v>
      </c>
      <c r="F2868">
        <v>2008</v>
      </c>
      <c r="G2868" t="s">
        <v>3923</v>
      </c>
      <c r="H2868" t="s">
        <v>13908</v>
      </c>
      <c r="I2868" t="s">
        <v>13909</v>
      </c>
      <c r="J2868" t="s">
        <v>26</v>
      </c>
      <c r="K2868" t="s">
        <v>27</v>
      </c>
      <c r="L2868" t="b">
        <v>1</v>
      </c>
      <c r="M2868" t="s">
        <v>13910</v>
      </c>
      <c r="N2868" t="str">
        <f>"006.7"</f>
        <v>006.7</v>
      </c>
      <c r="P2868" t="b">
        <v>0</v>
      </c>
      <c r="R2868" t="str">
        <f>"9780910965835"</f>
        <v>9780910965835</v>
      </c>
      <c r="S2868" t="str">
        <f>"9781573879316"</f>
        <v>9781573879316</v>
      </c>
      <c r="T2868">
        <v>313464357</v>
      </c>
    </row>
    <row r="2869" spans="1:20" x14ac:dyDescent="0.25">
      <c r="A2869">
        <v>251777</v>
      </c>
      <c r="B2869" t="s">
        <v>13911</v>
      </c>
      <c r="D2869" t="s">
        <v>13912</v>
      </c>
      <c r="E2869" t="s">
        <v>13913</v>
      </c>
      <c r="F2869">
        <v>2006</v>
      </c>
      <c r="G2869" t="s">
        <v>213</v>
      </c>
      <c r="H2869" t="s">
        <v>13914</v>
      </c>
      <c r="I2869" t="s">
        <v>13915</v>
      </c>
      <c r="J2869" t="s">
        <v>26</v>
      </c>
      <c r="K2869" t="s">
        <v>86</v>
      </c>
      <c r="L2869" t="b">
        <v>1</v>
      </c>
      <c r="M2869" t="s">
        <v>13916</v>
      </c>
      <c r="N2869" t="str">
        <f>"343.09/9"</f>
        <v>343.09/9</v>
      </c>
      <c r="P2869" t="b">
        <v>0</v>
      </c>
      <c r="R2869" t="str">
        <f>"9781412908467"</f>
        <v>9781412908467</v>
      </c>
      <c r="S2869" t="str">
        <f>"9781847878120"</f>
        <v>9781847878120</v>
      </c>
      <c r="T2869">
        <v>297420978</v>
      </c>
    </row>
    <row r="2870" spans="1:20" x14ac:dyDescent="0.25">
      <c r="A2870">
        <v>249448</v>
      </c>
      <c r="B2870" t="s">
        <v>13917</v>
      </c>
      <c r="C2870" t="s">
        <v>13918</v>
      </c>
      <c r="D2870" t="s">
        <v>10883</v>
      </c>
      <c r="E2870" t="s">
        <v>10884</v>
      </c>
      <c r="F2870">
        <v>2005</v>
      </c>
      <c r="G2870" t="s">
        <v>8498</v>
      </c>
      <c r="H2870" t="s">
        <v>13919</v>
      </c>
      <c r="I2870" t="s">
        <v>13920</v>
      </c>
      <c r="J2870" t="s">
        <v>26</v>
      </c>
      <c r="K2870" t="s">
        <v>27</v>
      </c>
      <c r="L2870" t="b">
        <v>1</v>
      </c>
      <c r="M2870" t="s">
        <v>13921</v>
      </c>
      <c r="N2870" t="str">
        <f>"616.4/6206"</f>
        <v>616.4/6206</v>
      </c>
      <c r="P2870" t="b">
        <v>0</v>
      </c>
      <c r="R2870" t="str">
        <f>"9780977360741"</f>
        <v>9780977360741</v>
      </c>
      <c r="S2870" t="str">
        <f>"9781605572369"</f>
        <v>9781605572369</v>
      </c>
      <c r="T2870">
        <v>298858675</v>
      </c>
    </row>
    <row r="2871" spans="1:20" x14ac:dyDescent="0.25">
      <c r="A2871">
        <v>248216</v>
      </c>
      <c r="B2871" t="s">
        <v>13922</v>
      </c>
      <c r="C2871" t="s">
        <v>13923</v>
      </c>
      <c r="D2871" t="s">
        <v>131</v>
      </c>
      <c r="E2871" t="s">
        <v>552</v>
      </c>
      <c r="F2871">
        <v>2008</v>
      </c>
      <c r="G2871" t="s">
        <v>13924</v>
      </c>
      <c r="H2871" t="s">
        <v>13925</v>
      </c>
      <c r="I2871" t="s">
        <v>13926</v>
      </c>
      <c r="J2871" t="s">
        <v>26</v>
      </c>
      <c r="K2871" t="s">
        <v>48</v>
      </c>
      <c r="L2871" t="b">
        <v>1</v>
      </c>
      <c r="M2871" t="s">
        <v>13927</v>
      </c>
      <c r="N2871" t="str">
        <f>"891.5511"</f>
        <v>891.5511</v>
      </c>
      <c r="P2871" t="b">
        <v>0</v>
      </c>
      <c r="Q2871" t="b">
        <v>0</v>
      </c>
      <c r="R2871" t="str">
        <f>"9781851685493"</f>
        <v>9781851685493</v>
      </c>
      <c r="S2871" t="str">
        <f>"9781780747378"</f>
        <v>9781780747378</v>
      </c>
      <c r="T2871">
        <v>860384569</v>
      </c>
    </row>
    <row r="2872" spans="1:20" x14ac:dyDescent="0.25">
      <c r="A2872">
        <v>248201</v>
      </c>
      <c r="B2872" t="s">
        <v>13928</v>
      </c>
      <c r="D2872" t="s">
        <v>1151</v>
      </c>
      <c r="E2872" t="s">
        <v>552</v>
      </c>
      <c r="F2872">
        <v>2007</v>
      </c>
      <c r="G2872" t="s">
        <v>4612</v>
      </c>
      <c r="H2872" t="s">
        <v>13929</v>
      </c>
      <c r="I2872" t="s">
        <v>2595</v>
      </c>
      <c r="J2872" t="s">
        <v>26</v>
      </c>
      <c r="K2872" t="s">
        <v>86</v>
      </c>
      <c r="L2872" t="b">
        <v>1</v>
      </c>
      <c r="M2872" t="s">
        <v>13930</v>
      </c>
      <c r="N2872" t="str">
        <f>"320.011"</f>
        <v>320.011</v>
      </c>
      <c r="O2872" t="s">
        <v>13931</v>
      </c>
      <c r="P2872" t="b">
        <v>0</v>
      </c>
      <c r="Q2872" t="b">
        <v>0</v>
      </c>
      <c r="R2872" t="str">
        <f>"9781851684830"</f>
        <v>9781851684830</v>
      </c>
      <c r="S2872" t="str">
        <f>"9781435686502"</f>
        <v>9781435686502</v>
      </c>
      <c r="T2872">
        <v>294848049</v>
      </c>
    </row>
    <row r="2873" spans="1:20" x14ac:dyDescent="0.25">
      <c r="A2873">
        <v>248153</v>
      </c>
      <c r="B2873" t="s">
        <v>13932</v>
      </c>
      <c r="D2873" t="s">
        <v>131</v>
      </c>
      <c r="E2873" t="s">
        <v>1885</v>
      </c>
      <c r="F2873">
        <v>2008</v>
      </c>
      <c r="G2873" t="s">
        <v>13933</v>
      </c>
      <c r="H2873" t="s">
        <v>13934</v>
      </c>
      <c r="I2873" t="s">
        <v>13935</v>
      </c>
      <c r="J2873" t="s">
        <v>26</v>
      </c>
      <c r="K2873" t="s">
        <v>86</v>
      </c>
      <c r="L2873" t="b">
        <v>1</v>
      </c>
      <c r="M2873" t="s">
        <v>13936</v>
      </c>
      <c r="N2873" t="str">
        <f>"200/.3"</f>
        <v>200/.3</v>
      </c>
      <c r="P2873" t="b">
        <v>0</v>
      </c>
      <c r="Q2873" t="b">
        <v>0</v>
      </c>
      <c r="R2873" t="str">
        <f>"9781578592098"</f>
        <v>9781578592098</v>
      </c>
      <c r="S2873" t="str">
        <f>"9781578592302"</f>
        <v>9781578592302</v>
      </c>
      <c r="T2873">
        <v>297113867</v>
      </c>
    </row>
    <row r="2874" spans="1:20" x14ac:dyDescent="0.25">
      <c r="A2874">
        <v>248152</v>
      </c>
      <c r="B2874" t="s">
        <v>13937</v>
      </c>
      <c r="D2874" t="s">
        <v>131</v>
      </c>
      <c r="E2874" t="s">
        <v>1885</v>
      </c>
      <c r="F2874">
        <v>2008</v>
      </c>
      <c r="G2874" t="s">
        <v>13938</v>
      </c>
      <c r="H2874" t="s">
        <v>13939</v>
      </c>
      <c r="I2874" t="s">
        <v>13940</v>
      </c>
      <c r="J2874" t="s">
        <v>26</v>
      </c>
      <c r="K2874" t="s">
        <v>86</v>
      </c>
      <c r="L2874" t="b">
        <v>1</v>
      </c>
      <c r="M2874" t="s">
        <v>12164</v>
      </c>
      <c r="N2874" t="str">
        <f>"347.73/26"</f>
        <v>347.73/26</v>
      </c>
      <c r="O2874" t="s">
        <v>13941</v>
      </c>
      <c r="P2874" t="b">
        <v>0</v>
      </c>
      <c r="Q2874" t="b">
        <v>0</v>
      </c>
      <c r="R2874" t="str">
        <f>"9781578591961"</f>
        <v>9781578591961</v>
      </c>
      <c r="S2874" t="str">
        <f>"9781578592364"</f>
        <v>9781578592364</v>
      </c>
      <c r="T2874">
        <v>297107598</v>
      </c>
    </row>
    <row r="2875" spans="1:20" x14ac:dyDescent="0.25">
      <c r="A2875">
        <v>248150</v>
      </c>
      <c r="B2875" t="s">
        <v>13942</v>
      </c>
      <c r="C2875" t="s">
        <v>13943</v>
      </c>
      <c r="D2875" t="s">
        <v>131</v>
      </c>
      <c r="E2875" t="s">
        <v>1885</v>
      </c>
      <c r="F2875">
        <v>2008</v>
      </c>
      <c r="G2875" t="s">
        <v>13944</v>
      </c>
      <c r="H2875" t="s">
        <v>13945</v>
      </c>
      <c r="I2875" t="s">
        <v>13946</v>
      </c>
      <c r="J2875" t="s">
        <v>26</v>
      </c>
      <c r="K2875" t="s">
        <v>86</v>
      </c>
      <c r="L2875" t="b">
        <v>1</v>
      </c>
      <c r="M2875" t="s">
        <v>13947</v>
      </c>
      <c r="N2875" t="str">
        <f>"364.1/092/273"</f>
        <v>364.1/092/273</v>
      </c>
      <c r="P2875" t="b">
        <v>0</v>
      </c>
      <c r="R2875" t="str">
        <f>"9781578591916"</f>
        <v>9781578591916</v>
      </c>
      <c r="S2875" t="str">
        <f>"9781578592272"</f>
        <v>9781578592272</v>
      </c>
      <c r="T2875">
        <v>297107560</v>
      </c>
    </row>
    <row r="2876" spans="1:20" x14ac:dyDescent="0.25">
      <c r="A2876">
        <v>248143</v>
      </c>
      <c r="B2876" t="s">
        <v>13948</v>
      </c>
      <c r="C2876" t="s">
        <v>13949</v>
      </c>
      <c r="D2876" t="s">
        <v>255</v>
      </c>
      <c r="E2876" t="s">
        <v>13950</v>
      </c>
      <c r="F2876">
        <v>2008</v>
      </c>
      <c r="G2876" t="s">
        <v>4558</v>
      </c>
      <c r="H2876" t="s">
        <v>13951</v>
      </c>
      <c r="I2876" t="s">
        <v>13952</v>
      </c>
      <c r="J2876" t="s">
        <v>26</v>
      </c>
      <c r="K2876" t="s">
        <v>27</v>
      </c>
      <c r="L2876" t="b">
        <v>1</v>
      </c>
      <c r="M2876" t="s">
        <v>13953</v>
      </c>
      <c r="N2876" t="str">
        <f>"327.7305694"</f>
        <v>327.7305694</v>
      </c>
      <c r="P2876" t="b">
        <v>0</v>
      </c>
      <c r="R2876" t="str">
        <f>"9781932528176"</f>
        <v>9781932528176</v>
      </c>
      <c r="S2876" t="str">
        <f>"9781932528596"</f>
        <v>9781932528596</v>
      </c>
      <c r="T2876">
        <v>503443605</v>
      </c>
    </row>
    <row r="2877" spans="1:20" x14ac:dyDescent="0.25">
      <c r="A2877">
        <v>248142</v>
      </c>
      <c r="B2877" t="s">
        <v>13954</v>
      </c>
      <c r="C2877" t="s">
        <v>13955</v>
      </c>
      <c r="D2877" t="s">
        <v>255</v>
      </c>
      <c r="E2877" t="s">
        <v>11149</v>
      </c>
      <c r="F2877">
        <v>2008</v>
      </c>
      <c r="G2877" t="s">
        <v>13956</v>
      </c>
      <c r="H2877" t="s">
        <v>13957</v>
      </c>
      <c r="I2877" t="s">
        <v>13958</v>
      </c>
      <c r="J2877" t="s">
        <v>26</v>
      </c>
      <c r="K2877" t="s">
        <v>27</v>
      </c>
      <c r="L2877" t="b">
        <v>1</v>
      </c>
      <c r="M2877" t="s">
        <v>13959</v>
      </c>
      <c r="N2877" t="str">
        <f>"339.2"</f>
        <v>339.2</v>
      </c>
      <c r="O2877" t="s">
        <v>13960</v>
      </c>
      <c r="P2877" t="b">
        <v>0</v>
      </c>
      <c r="R2877" t="str">
        <f>"9781932528121"</f>
        <v>9781932528121</v>
      </c>
      <c r="S2877" t="str">
        <f>"9781932528602"</f>
        <v>9781932528602</v>
      </c>
      <c r="T2877">
        <v>315903965</v>
      </c>
    </row>
    <row r="2878" spans="1:20" x14ac:dyDescent="0.25">
      <c r="A2878">
        <v>247611</v>
      </c>
      <c r="B2878">
        <v>2008</v>
      </c>
      <c r="D2878" t="s">
        <v>1364</v>
      </c>
      <c r="E2878" t="s">
        <v>1507</v>
      </c>
      <c r="F2878">
        <v>2008</v>
      </c>
      <c r="G2878" t="s">
        <v>6053</v>
      </c>
      <c r="H2878" t="s">
        <v>13961</v>
      </c>
      <c r="I2878" t="s">
        <v>13962</v>
      </c>
      <c r="J2878" t="s">
        <v>7790</v>
      </c>
      <c r="K2878" t="s">
        <v>27</v>
      </c>
      <c r="L2878" t="b">
        <v>1</v>
      </c>
      <c r="M2878" t="s">
        <v>13963</v>
      </c>
      <c r="N2878" t="str">
        <f>"010/.42"</f>
        <v>010/.42</v>
      </c>
      <c r="P2878" t="b">
        <v>0</v>
      </c>
      <c r="R2878" t="str">
        <f>"9783598248580"</f>
        <v>9783598248580</v>
      </c>
      <c r="S2878" t="str">
        <f>"9783598441042"</f>
        <v>9783598441042</v>
      </c>
      <c r="T2878">
        <v>307587287</v>
      </c>
    </row>
    <row r="2879" spans="1:20" x14ac:dyDescent="0.25">
      <c r="A2879">
        <v>247480</v>
      </c>
      <c r="B2879" t="s">
        <v>13964</v>
      </c>
      <c r="C2879" t="s">
        <v>13965</v>
      </c>
      <c r="D2879" t="s">
        <v>1364</v>
      </c>
      <c r="E2879" t="s">
        <v>1364</v>
      </c>
      <c r="F2879">
        <v>2000</v>
      </c>
      <c r="G2879" t="s">
        <v>3705</v>
      </c>
      <c r="H2879" t="s">
        <v>13966</v>
      </c>
      <c r="I2879" t="s">
        <v>13967</v>
      </c>
      <c r="J2879" t="s">
        <v>7790</v>
      </c>
      <c r="K2879" t="s">
        <v>27</v>
      </c>
      <c r="L2879" t="b">
        <v>1</v>
      </c>
      <c r="M2879" t="s">
        <v>13968</v>
      </c>
      <c r="N2879" t="str">
        <f>"943.155"</f>
        <v>943.155</v>
      </c>
      <c r="P2879" t="b">
        <v>0</v>
      </c>
      <c r="R2879" t="str">
        <f>"9783110164145"</f>
        <v>9783110164145</v>
      </c>
      <c r="S2879" t="str">
        <f>"9783110204889"</f>
        <v>9783110204889</v>
      </c>
      <c r="T2879">
        <v>301561905</v>
      </c>
    </row>
    <row r="2880" spans="1:20" x14ac:dyDescent="0.25">
      <c r="A2880">
        <v>247479</v>
      </c>
      <c r="B2880" t="s">
        <v>13969</v>
      </c>
      <c r="C2880" t="s">
        <v>13970</v>
      </c>
      <c r="D2880" t="s">
        <v>1364</v>
      </c>
      <c r="E2880" t="s">
        <v>1364</v>
      </c>
      <c r="F2880">
        <v>2002</v>
      </c>
      <c r="G2880" t="s">
        <v>23</v>
      </c>
      <c r="H2880" t="s">
        <v>13971</v>
      </c>
      <c r="I2880" t="s">
        <v>13972</v>
      </c>
      <c r="J2880" t="s">
        <v>7790</v>
      </c>
      <c r="K2880" t="s">
        <v>27</v>
      </c>
      <c r="L2880" t="b">
        <v>1</v>
      </c>
      <c r="M2880" t="s">
        <v>13973</v>
      </c>
      <c r="N2880" t="str">
        <f>"184"</f>
        <v>184</v>
      </c>
      <c r="O2880" t="s">
        <v>13974</v>
      </c>
      <c r="P2880" t="b">
        <v>0</v>
      </c>
      <c r="R2880" t="str">
        <f>"9783110170061"</f>
        <v>9783110170061</v>
      </c>
      <c r="S2880" t="str">
        <f>"9783110204872"</f>
        <v>9783110204872</v>
      </c>
      <c r="T2880">
        <v>301973480</v>
      </c>
    </row>
    <row r="2881" spans="1:20" x14ac:dyDescent="0.25">
      <c r="A2881">
        <v>247478</v>
      </c>
      <c r="B2881" t="s">
        <v>13975</v>
      </c>
      <c r="C2881" t="s">
        <v>13976</v>
      </c>
      <c r="D2881" t="s">
        <v>1364</v>
      </c>
      <c r="E2881" t="s">
        <v>1364</v>
      </c>
      <c r="F2881">
        <v>2003</v>
      </c>
      <c r="G2881" t="s">
        <v>2014</v>
      </c>
      <c r="H2881" t="s">
        <v>13977</v>
      </c>
      <c r="I2881" t="s">
        <v>13978</v>
      </c>
      <c r="J2881" t="s">
        <v>7790</v>
      </c>
      <c r="K2881" t="s">
        <v>27</v>
      </c>
      <c r="L2881" t="b">
        <v>1</v>
      </c>
      <c r="M2881" t="s">
        <v>13979</v>
      </c>
      <c r="N2881" t="str">
        <f>"171/.2092"</f>
        <v>171/.2092</v>
      </c>
      <c r="O2881" t="s">
        <v>13974</v>
      </c>
      <c r="P2881" t="b">
        <v>0</v>
      </c>
      <c r="R2881" t="str">
        <f>"9783110176995"</f>
        <v>9783110176995</v>
      </c>
      <c r="S2881" t="str">
        <f>"9783110204810"</f>
        <v>9783110204810</v>
      </c>
      <c r="T2881">
        <v>301984433</v>
      </c>
    </row>
    <row r="2882" spans="1:20" x14ac:dyDescent="0.25">
      <c r="A2882">
        <v>246990</v>
      </c>
      <c r="B2882" t="s">
        <v>13980</v>
      </c>
      <c r="D2882" t="s">
        <v>5501</v>
      </c>
      <c r="E2882" t="s">
        <v>5502</v>
      </c>
      <c r="F2882">
        <v>2005</v>
      </c>
      <c r="G2882" t="s">
        <v>13981</v>
      </c>
      <c r="H2882" t="s">
        <v>13982</v>
      </c>
      <c r="J2882" t="s">
        <v>26</v>
      </c>
      <c r="K2882" t="s">
        <v>86</v>
      </c>
      <c r="L2882" t="b">
        <v>1</v>
      </c>
      <c r="M2882" t="s">
        <v>13983</v>
      </c>
      <c r="N2882" t="str">
        <f>"959.9"</f>
        <v>959.9</v>
      </c>
      <c r="O2882" t="s">
        <v>13984</v>
      </c>
      <c r="P2882" t="b">
        <v>0</v>
      </c>
      <c r="R2882" t="str">
        <f>"9780742510234"</f>
        <v>9780742510234</v>
      </c>
      <c r="S2882" t="str">
        <f>"9780742568723"</f>
        <v>9780742568723</v>
      </c>
      <c r="T2882">
        <v>276122895</v>
      </c>
    </row>
    <row r="2883" spans="1:20" x14ac:dyDescent="0.25">
      <c r="A2883">
        <v>246757</v>
      </c>
      <c r="B2883" t="s">
        <v>13985</v>
      </c>
      <c r="C2883" t="s">
        <v>13986</v>
      </c>
      <c r="D2883" t="s">
        <v>131</v>
      </c>
      <c r="E2883" t="s">
        <v>552</v>
      </c>
      <c r="F2883">
        <v>2005</v>
      </c>
      <c r="G2883" t="s">
        <v>1962</v>
      </c>
      <c r="H2883" t="s">
        <v>13987</v>
      </c>
      <c r="I2883" t="s">
        <v>13988</v>
      </c>
      <c r="J2883" t="s">
        <v>26</v>
      </c>
      <c r="K2883" t="s">
        <v>86</v>
      </c>
      <c r="L2883" t="b">
        <v>1</v>
      </c>
      <c r="M2883" t="s">
        <v>13989</v>
      </c>
      <c r="N2883" t="str">
        <f>"327.56"</f>
        <v>327.56</v>
      </c>
      <c r="P2883" t="b">
        <v>0</v>
      </c>
      <c r="Q2883" t="b">
        <v>0</v>
      </c>
      <c r="R2883" t="str">
        <f>"9781851683659"</f>
        <v>9781851683659</v>
      </c>
      <c r="S2883" t="str">
        <f>"9781435684409"</f>
        <v>9781435684409</v>
      </c>
      <c r="T2883">
        <v>291091302</v>
      </c>
    </row>
    <row r="2884" spans="1:20" x14ac:dyDescent="0.25">
      <c r="A2884">
        <v>246422</v>
      </c>
      <c r="B2884" t="s">
        <v>13990</v>
      </c>
      <c r="D2884" t="s">
        <v>5731</v>
      </c>
      <c r="E2884" t="s">
        <v>6240</v>
      </c>
      <c r="F2884">
        <v>2004</v>
      </c>
      <c r="G2884" t="s">
        <v>13991</v>
      </c>
      <c r="H2884" t="s">
        <v>13992</v>
      </c>
      <c r="I2884" t="s">
        <v>13993</v>
      </c>
      <c r="J2884" t="s">
        <v>26</v>
      </c>
      <c r="K2884" t="s">
        <v>86</v>
      </c>
      <c r="L2884" t="b">
        <v>1</v>
      </c>
      <c r="M2884" t="s">
        <v>13994</v>
      </c>
      <c r="N2884" t="str">
        <f>"289.1/03"</f>
        <v>289.1/03</v>
      </c>
      <c r="O2884" t="s">
        <v>5735</v>
      </c>
      <c r="P2884" t="b">
        <v>0</v>
      </c>
      <c r="R2884" t="str">
        <f>"9780810848696"</f>
        <v>9780810848696</v>
      </c>
      <c r="S2884" t="str">
        <f>"9780810865808"</f>
        <v>9780810865808</v>
      </c>
      <c r="T2884">
        <v>268781346</v>
      </c>
    </row>
    <row r="2885" spans="1:20" x14ac:dyDescent="0.25">
      <c r="A2885">
        <v>246417</v>
      </c>
      <c r="B2885" t="s">
        <v>13995</v>
      </c>
      <c r="D2885" t="s">
        <v>5731</v>
      </c>
      <c r="E2885" t="s">
        <v>6240</v>
      </c>
      <c r="F2885">
        <v>2003</v>
      </c>
      <c r="G2885" t="s">
        <v>11346</v>
      </c>
      <c r="H2885" t="s">
        <v>13996</v>
      </c>
      <c r="I2885" t="s">
        <v>13997</v>
      </c>
      <c r="J2885" t="s">
        <v>26</v>
      </c>
      <c r="K2885" t="s">
        <v>86</v>
      </c>
      <c r="L2885" t="b">
        <v>1</v>
      </c>
      <c r="M2885" t="s">
        <v>13998</v>
      </c>
      <c r="N2885" t="str">
        <f>"909/.0494201/03"</f>
        <v>909/.0494201/03</v>
      </c>
      <c r="O2885" t="s">
        <v>13877</v>
      </c>
      <c r="P2885" t="b">
        <v>0</v>
      </c>
      <c r="R2885" t="str">
        <f>"9780810845718"</f>
        <v>9780810845718</v>
      </c>
      <c r="S2885" t="str">
        <f>"9780810866027"</f>
        <v>9780810866027</v>
      </c>
      <c r="T2885">
        <v>268776897</v>
      </c>
    </row>
    <row r="2886" spans="1:20" x14ac:dyDescent="0.25">
      <c r="A2886">
        <v>244613</v>
      </c>
      <c r="B2886" t="s">
        <v>13999</v>
      </c>
      <c r="C2886" t="s">
        <v>14000</v>
      </c>
      <c r="D2886" t="s">
        <v>13054</v>
      </c>
      <c r="E2886" t="s">
        <v>13055</v>
      </c>
      <c r="F2886">
        <v>2008</v>
      </c>
      <c r="G2886" t="s">
        <v>9212</v>
      </c>
      <c r="H2886" t="s">
        <v>14001</v>
      </c>
      <c r="I2886" t="s">
        <v>14002</v>
      </c>
      <c r="J2886" t="s">
        <v>26</v>
      </c>
      <c r="K2886" t="s">
        <v>27</v>
      </c>
      <c r="L2886" t="b">
        <v>1</v>
      </c>
      <c r="M2886" t="s">
        <v>14003</v>
      </c>
      <c r="N2886" t="str">
        <f>"616.399"</f>
        <v>616.399</v>
      </c>
      <c r="P2886" t="b">
        <v>0</v>
      </c>
      <c r="R2886" t="str">
        <f>"9781904392996"</f>
        <v>9781904392996</v>
      </c>
      <c r="S2886" t="str">
        <f>"9781846925924"</f>
        <v>9781846925924</v>
      </c>
      <c r="T2886">
        <v>277086638</v>
      </c>
    </row>
    <row r="2887" spans="1:20" x14ac:dyDescent="0.25">
      <c r="A2887">
        <v>244612</v>
      </c>
      <c r="B2887" t="s">
        <v>14004</v>
      </c>
      <c r="D2887" t="s">
        <v>13054</v>
      </c>
      <c r="E2887" t="s">
        <v>13055</v>
      </c>
      <c r="F2887">
        <v>2008</v>
      </c>
      <c r="G2887" t="s">
        <v>9212</v>
      </c>
      <c r="H2887" t="s">
        <v>14005</v>
      </c>
      <c r="I2887" t="s">
        <v>9961</v>
      </c>
      <c r="J2887" t="s">
        <v>26</v>
      </c>
      <c r="K2887" t="s">
        <v>27</v>
      </c>
      <c r="L2887" t="b">
        <v>1</v>
      </c>
      <c r="M2887" t="s">
        <v>14006</v>
      </c>
      <c r="N2887" t="str">
        <f>"616.3997"</f>
        <v>616.3997</v>
      </c>
      <c r="P2887" t="b">
        <v>0</v>
      </c>
      <c r="R2887" t="str">
        <f>"9781846920295"</f>
        <v>9781846920295</v>
      </c>
      <c r="S2887" t="str">
        <f>"9781846925917"</f>
        <v>9781846925917</v>
      </c>
      <c r="T2887">
        <v>270110930</v>
      </c>
    </row>
    <row r="2888" spans="1:20" x14ac:dyDescent="0.25">
      <c r="A2888">
        <v>244611</v>
      </c>
      <c r="B2888" t="s">
        <v>14007</v>
      </c>
      <c r="D2888" t="s">
        <v>13054</v>
      </c>
      <c r="E2888" t="s">
        <v>13055</v>
      </c>
      <c r="F2888">
        <v>2008</v>
      </c>
      <c r="G2888" t="s">
        <v>1054</v>
      </c>
      <c r="H2888" t="s">
        <v>14008</v>
      </c>
      <c r="I2888" t="s">
        <v>14009</v>
      </c>
      <c r="J2888" t="s">
        <v>26</v>
      </c>
      <c r="K2888" t="s">
        <v>27</v>
      </c>
      <c r="L2888" t="b">
        <v>1</v>
      </c>
      <c r="M2888" t="s">
        <v>14010</v>
      </c>
      <c r="N2888" t="str">
        <f>"616.1/32"</f>
        <v>616.1/32</v>
      </c>
      <c r="P2888" t="b">
        <v>0</v>
      </c>
      <c r="R2888" t="str">
        <f>"9781846920233"</f>
        <v>9781846920233</v>
      </c>
      <c r="S2888" t="str">
        <f>"9781846925887"</f>
        <v>9781846925887</v>
      </c>
      <c r="T2888">
        <v>277086637</v>
      </c>
    </row>
    <row r="2889" spans="1:20" x14ac:dyDescent="0.25">
      <c r="A2889">
        <v>244610</v>
      </c>
      <c r="B2889" t="s">
        <v>14011</v>
      </c>
      <c r="D2889" t="s">
        <v>13054</v>
      </c>
      <c r="E2889" t="s">
        <v>13055</v>
      </c>
      <c r="F2889">
        <v>2008</v>
      </c>
      <c r="G2889" t="s">
        <v>7429</v>
      </c>
      <c r="H2889" t="s">
        <v>14012</v>
      </c>
      <c r="I2889" t="s">
        <v>14013</v>
      </c>
      <c r="J2889" t="s">
        <v>26</v>
      </c>
      <c r="K2889" t="s">
        <v>27</v>
      </c>
      <c r="L2889" t="b">
        <v>1</v>
      </c>
      <c r="M2889" t="s">
        <v>14014</v>
      </c>
      <c r="N2889" t="str">
        <f>"616.723"</f>
        <v>616.723</v>
      </c>
      <c r="P2889" t="b">
        <v>0</v>
      </c>
      <c r="R2889" t="str">
        <f>"9781846920189"</f>
        <v>9781846920189</v>
      </c>
      <c r="S2889" t="str">
        <f>"9781846925795"</f>
        <v>9781846925795</v>
      </c>
      <c r="T2889">
        <v>277056379</v>
      </c>
    </row>
    <row r="2890" spans="1:20" x14ac:dyDescent="0.25">
      <c r="A2890">
        <v>244609</v>
      </c>
      <c r="B2890" t="s">
        <v>14015</v>
      </c>
      <c r="D2890" t="s">
        <v>13054</v>
      </c>
      <c r="E2890" t="s">
        <v>13055</v>
      </c>
      <c r="F2890">
        <v>2007</v>
      </c>
      <c r="G2890" t="s">
        <v>8679</v>
      </c>
      <c r="H2890" t="s">
        <v>14016</v>
      </c>
      <c r="I2890" t="s">
        <v>14017</v>
      </c>
      <c r="J2890" t="s">
        <v>26</v>
      </c>
      <c r="K2890" t="s">
        <v>27</v>
      </c>
      <c r="L2890" t="b">
        <v>1</v>
      </c>
      <c r="M2890" t="s">
        <v>14018</v>
      </c>
      <c r="N2890" t="str">
        <f>"616.24"</f>
        <v>616.24</v>
      </c>
      <c r="P2890" t="b">
        <v>0</v>
      </c>
      <c r="R2890" t="str">
        <f>"9781904392910"</f>
        <v>9781904392910</v>
      </c>
      <c r="S2890" t="str">
        <f>"9781846925726"</f>
        <v>9781846925726</v>
      </c>
      <c r="T2890">
        <v>283807137</v>
      </c>
    </row>
    <row r="2891" spans="1:20" x14ac:dyDescent="0.25">
      <c r="A2891">
        <v>244608</v>
      </c>
      <c r="B2891" t="s">
        <v>14019</v>
      </c>
      <c r="C2891" t="s">
        <v>14020</v>
      </c>
      <c r="D2891" t="s">
        <v>13054</v>
      </c>
      <c r="E2891" t="s">
        <v>13055</v>
      </c>
      <c r="F2891">
        <v>2007</v>
      </c>
      <c r="G2891" t="s">
        <v>10034</v>
      </c>
      <c r="H2891" t="s">
        <v>14021</v>
      </c>
      <c r="I2891" t="s">
        <v>14022</v>
      </c>
      <c r="J2891" t="s">
        <v>26</v>
      </c>
      <c r="K2891" t="s">
        <v>27</v>
      </c>
      <c r="L2891" t="b">
        <v>1</v>
      </c>
      <c r="M2891" t="s">
        <v>14023</v>
      </c>
      <c r="N2891" t="str">
        <f>"616.238"</f>
        <v>616.238</v>
      </c>
      <c r="O2891" t="s">
        <v>13999</v>
      </c>
      <c r="P2891" t="b">
        <v>0</v>
      </c>
      <c r="R2891" t="str">
        <f>"9781846920158"</f>
        <v>9781846920158</v>
      </c>
      <c r="S2891" t="str">
        <f>"9781846925788"</f>
        <v>9781846925788</v>
      </c>
      <c r="T2891">
        <v>297173284</v>
      </c>
    </row>
    <row r="2892" spans="1:20" x14ac:dyDescent="0.25">
      <c r="A2892">
        <v>244607</v>
      </c>
      <c r="B2892" t="s">
        <v>14024</v>
      </c>
      <c r="D2892" t="s">
        <v>13054</v>
      </c>
      <c r="E2892" t="s">
        <v>13055</v>
      </c>
      <c r="F2892">
        <v>2008</v>
      </c>
      <c r="G2892" t="s">
        <v>7429</v>
      </c>
      <c r="H2892" t="s">
        <v>14025</v>
      </c>
      <c r="I2892" t="s">
        <v>14026</v>
      </c>
      <c r="J2892" t="s">
        <v>26</v>
      </c>
      <c r="K2892" t="s">
        <v>27</v>
      </c>
      <c r="L2892" t="b">
        <v>1</v>
      </c>
      <c r="M2892" t="s">
        <v>14027</v>
      </c>
      <c r="N2892" t="str">
        <f>"616.7/23"</f>
        <v>616.7/23</v>
      </c>
      <c r="P2892" t="b">
        <v>0</v>
      </c>
      <c r="R2892" t="str">
        <f>"9781904392859"</f>
        <v>9781904392859</v>
      </c>
      <c r="S2892" t="str">
        <f>"9781846925900"</f>
        <v>9781846925900</v>
      </c>
      <c r="T2892">
        <v>277089955</v>
      </c>
    </row>
    <row r="2893" spans="1:20" x14ac:dyDescent="0.25">
      <c r="A2893">
        <v>244606</v>
      </c>
      <c r="B2893" t="s">
        <v>14019</v>
      </c>
      <c r="C2893" t="s">
        <v>14028</v>
      </c>
      <c r="D2893" t="s">
        <v>13054</v>
      </c>
      <c r="E2893" t="s">
        <v>13055</v>
      </c>
      <c r="F2893">
        <v>2007</v>
      </c>
      <c r="G2893" t="s">
        <v>10034</v>
      </c>
      <c r="H2893" t="s">
        <v>14021</v>
      </c>
      <c r="I2893" t="s">
        <v>14022</v>
      </c>
      <c r="J2893" t="s">
        <v>26</v>
      </c>
      <c r="K2893" t="s">
        <v>27</v>
      </c>
      <c r="L2893" t="b">
        <v>1</v>
      </c>
      <c r="M2893" t="s">
        <v>14023</v>
      </c>
      <c r="N2893" t="str">
        <f>"616.2/3806"</f>
        <v>616.2/3806</v>
      </c>
      <c r="O2893" t="s">
        <v>13999</v>
      </c>
      <c r="P2893" t="b">
        <v>0</v>
      </c>
      <c r="R2893" t="str">
        <f>"9781904392705"</f>
        <v>9781904392705</v>
      </c>
      <c r="S2893" t="str">
        <f>"9781846925641"</f>
        <v>9781846925641</v>
      </c>
      <c r="T2893">
        <v>283799112</v>
      </c>
    </row>
    <row r="2894" spans="1:20" x14ac:dyDescent="0.25">
      <c r="A2894">
        <v>244605</v>
      </c>
      <c r="B2894" t="s">
        <v>14029</v>
      </c>
      <c r="C2894" t="s">
        <v>14030</v>
      </c>
      <c r="D2894" t="s">
        <v>13054</v>
      </c>
      <c r="E2894" t="s">
        <v>13055</v>
      </c>
      <c r="F2894">
        <v>2007</v>
      </c>
      <c r="G2894" t="s">
        <v>9917</v>
      </c>
      <c r="H2894" t="s">
        <v>14031</v>
      </c>
      <c r="I2894" t="s">
        <v>14032</v>
      </c>
      <c r="J2894" t="s">
        <v>26</v>
      </c>
      <c r="K2894" t="s">
        <v>27</v>
      </c>
      <c r="L2894" t="b">
        <v>1</v>
      </c>
      <c r="M2894" t="s">
        <v>14033</v>
      </c>
      <c r="N2894" t="str">
        <f>"616.5/00222"</f>
        <v>616.5/00222</v>
      </c>
      <c r="P2894" t="b">
        <v>0</v>
      </c>
      <c r="R2894" t="str">
        <f>"9781904392767"</f>
        <v>9781904392767</v>
      </c>
      <c r="S2894" t="str">
        <f>"9781846925689"</f>
        <v>9781846925689</v>
      </c>
      <c r="T2894">
        <v>283807134</v>
      </c>
    </row>
    <row r="2895" spans="1:20" x14ac:dyDescent="0.25">
      <c r="A2895">
        <v>244604</v>
      </c>
      <c r="B2895" t="s">
        <v>14034</v>
      </c>
      <c r="D2895" t="s">
        <v>13054</v>
      </c>
      <c r="E2895" t="s">
        <v>13055</v>
      </c>
      <c r="F2895">
        <v>2007</v>
      </c>
      <c r="G2895" t="s">
        <v>7367</v>
      </c>
      <c r="H2895" t="s">
        <v>14035</v>
      </c>
      <c r="I2895" t="s">
        <v>14036</v>
      </c>
      <c r="J2895" t="s">
        <v>26</v>
      </c>
      <c r="K2895" t="s">
        <v>27</v>
      </c>
      <c r="L2895" t="b">
        <v>1</v>
      </c>
      <c r="M2895" t="s">
        <v>14037</v>
      </c>
      <c r="N2895" t="str">
        <f>"616.4"</f>
        <v>616.4</v>
      </c>
      <c r="P2895" t="b">
        <v>0</v>
      </c>
      <c r="R2895" t="str">
        <f>"9781904392798"</f>
        <v>9781904392798</v>
      </c>
      <c r="S2895" t="str">
        <f>"9781846925665"</f>
        <v>9781846925665</v>
      </c>
      <c r="T2895">
        <v>283807132</v>
      </c>
    </row>
    <row r="2896" spans="1:20" x14ac:dyDescent="0.25">
      <c r="A2896">
        <v>244603</v>
      </c>
      <c r="B2896" t="s">
        <v>14038</v>
      </c>
      <c r="D2896" t="s">
        <v>13054</v>
      </c>
      <c r="E2896" t="s">
        <v>13055</v>
      </c>
      <c r="F2896">
        <v>2006</v>
      </c>
      <c r="G2896" t="s">
        <v>9877</v>
      </c>
      <c r="H2896" t="s">
        <v>14039</v>
      </c>
      <c r="I2896" t="s">
        <v>14040</v>
      </c>
      <c r="J2896" t="s">
        <v>26</v>
      </c>
      <c r="K2896" t="s">
        <v>27</v>
      </c>
      <c r="L2896" t="b">
        <v>1</v>
      </c>
      <c r="M2896" t="s">
        <v>14041</v>
      </c>
      <c r="N2896" t="str">
        <f>"616.6"</f>
        <v>616.6</v>
      </c>
      <c r="P2896" t="b">
        <v>0</v>
      </c>
      <c r="R2896" t="str">
        <f>"9781904392828"</f>
        <v>9781904392828</v>
      </c>
      <c r="S2896" t="str">
        <f>"9781846925702"</f>
        <v>9781846925702</v>
      </c>
      <c r="T2896">
        <v>283807130</v>
      </c>
    </row>
    <row r="2897" spans="1:20" x14ac:dyDescent="0.25">
      <c r="A2897">
        <v>244602</v>
      </c>
      <c r="B2897" t="s">
        <v>14042</v>
      </c>
      <c r="C2897" t="s">
        <v>13053</v>
      </c>
      <c r="D2897" t="s">
        <v>13054</v>
      </c>
      <c r="E2897" t="s">
        <v>13055</v>
      </c>
      <c r="F2897">
        <v>2008</v>
      </c>
      <c r="G2897" t="s">
        <v>5884</v>
      </c>
      <c r="H2897" t="s">
        <v>14043</v>
      </c>
      <c r="I2897" t="s">
        <v>14044</v>
      </c>
      <c r="J2897" t="s">
        <v>26</v>
      </c>
      <c r="K2897" t="s">
        <v>27</v>
      </c>
      <c r="L2897" t="b">
        <v>1</v>
      </c>
      <c r="M2897" t="s">
        <v>14045</v>
      </c>
      <c r="N2897" t="str">
        <f>"614.5"</f>
        <v>614.5</v>
      </c>
      <c r="P2897" t="b">
        <v>0</v>
      </c>
      <c r="R2897" t="str">
        <f>"9781904392750"</f>
        <v>9781904392750</v>
      </c>
      <c r="S2897" t="str">
        <f>"9781846925672"</f>
        <v>9781846925672</v>
      </c>
      <c r="T2897">
        <v>283807127</v>
      </c>
    </row>
    <row r="2898" spans="1:20" x14ac:dyDescent="0.25">
      <c r="A2898">
        <v>244601</v>
      </c>
      <c r="B2898" t="s">
        <v>14046</v>
      </c>
      <c r="D2898" t="s">
        <v>13054</v>
      </c>
      <c r="E2898" t="s">
        <v>13055</v>
      </c>
      <c r="F2898">
        <v>2006</v>
      </c>
      <c r="G2898" t="s">
        <v>8498</v>
      </c>
      <c r="H2898" t="s">
        <v>14047</v>
      </c>
      <c r="I2898" t="s">
        <v>14048</v>
      </c>
      <c r="J2898" t="s">
        <v>26</v>
      </c>
      <c r="K2898" t="s">
        <v>27</v>
      </c>
      <c r="L2898" t="b">
        <v>1</v>
      </c>
      <c r="M2898" t="s">
        <v>14049</v>
      </c>
      <c r="N2898" t="str">
        <f>"616.4/62"</f>
        <v>616.4/62</v>
      </c>
      <c r="P2898" t="b">
        <v>0</v>
      </c>
      <c r="R2898" t="str">
        <f>"9781904392613"</f>
        <v>9781904392613</v>
      </c>
      <c r="S2898" t="str">
        <f>"9781846925658"</f>
        <v>9781846925658</v>
      </c>
      <c r="T2898">
        <v>283799102</v>
      </c>
    </row>
    <row r="2899" spans="1:20" x14ac:dyDescent="0.25">
      <c r="A2899">
        <v>244600</v>
      </c>
      <c r="B2899" t="s">
        <v>14050</v>
      </c>
      <c r="D2899" t="s">
        <v>13054</v>
      </c>
      <c r="E2899" t="s">
        <v>13055</v>
      </c>
      <c r="F2899">
        <v>2006</v>
      </c>
      <c r="G2899" t="s">
        <v>1054</v>
      </c>
      <c r="H2899" t="s">
        <v>14051</v>
      </c>
      <c r="I2899" t="s">
        <v>14052</v>
      </c>
      <c r="J2899" t="s">
        <v>26</v>
      </c>
      <c r="K2899" t="s">
        <v>27</v>
      </c>
      <c r="L2899" t="b">
        <v>1</v>
      </c>
      <c r="M2899" t="s">
        <v>9978</v>
      </c>
      <c r="N2899" t="str">
        <f>"616.13206"</f>
        <v>616.13206</v>
      </c>
      <c r="P2899" t="b">
        <v>0</v>
      </c>
      <c r="R2899" t="str">
        <f>"9781904392415"</f>
        <v>9781904392415</v>
      </c>
      <c r="S2899" t="str">
        <f>"9781846925498"</f>
        <v>9781846925498</v>
      </c>
      <c r="T2899">
        <v>773193517</v>
      </c>
    </row>
    <row r="2900" spans="1:20" x14ac:dyDescent="0.25">
      <c r="A2900">
        <v>244599</v>
      </c>
      <c r="B2900" t="s">
        <v>14053</v>
      </c>
      <c r="D2900" t="s">
        <v>13054</v>
      </c>
      <c r="E2900" t="s">
        <v>13055</v>
      </c>
      <c r="F2900">
        <v>2006</v>
      </c>
      <c r="G2900" t="s">
        <v>13851</v>
      </c>
      <c r="H2900" t="s">
        <v>14054</v>
      </c>
      <c r="I2900" t="s">
        <v>14055</v>
      </c>
      <c r="J2900" t="s">
        <v>26</v>
      </c>
      <c r="K2900" t="s">
        <v>27</v>
      </c>
      <c r="L2900" t="b">
        <v>1</v>
      </c>
      <c r="M2900" t="s">
        <v>14056</v>
      </c>
      <c r="N2900" t="str">
        <f>"616.97"</f>
        <v>616.97</v>
      </c>
      <c r="P2900" t="b">
        <v>0</v>
      </c>
      <c r="R2900" t="str">
        <f>"9781904392606"</f>
        <v>9781904392606</v>
      </c>
      <c r="S2900" t="str">
        <f>"9781846925627"</f>
        <v>9781846925627</v>
      </c>
      <c r="T2900">
        <v>283799100</v>
      </c>
    </row>
    <row r="2901" spans="1:20" x14ac:dyDescent="0.25">
      <c r="A2901">
        <v>244598</v>
      </c>
      <c r="B2901" t="s">
        <v>14057</v>
      </c>
      <c r="D2901" t="s">
        <v>13054</v>
      </c>
      <c r="E2901" t="s">
        <v>13055</v>
      </c>
      <c r="F2901">
        <v>2007</v>
      </c>
      <c r="G2901" t="s">
        <v>45</v>
      </c>
      <c r="H2901" t="s">
        <v>14058</v>
      </c>
      <c r="I2901" t="s">
        <v>14059</v>
      </c>
      <c r="J2901" t="s">
        <v>26</v>
      </c>
      <c r="K2901" t="s">
        <v>27</v>
      </c>
      <c r="L2901" t="b">
        <v>1</v>
      </c>
      <c r="M2901" t="s">
        <v>14060</v>
      </c>
      <c r="N2901" t="str">
        <f>"616.8/3106"</f>
        <v>616.8/3106</v>
      </c>
      <c r="P2901" t="b">
        <v>0</v>
      </c>
      <c r="R2901" t="str">
        <f>"9781904392583"</f>
        <v>9781904392583</v>
      </c>
      <c r="S2901" t="str">
        <f>"9781846925603"</f>
        <v>9781846925603</v>
      </c>
      <c r="T2901">
        <v>283799095</v>
      </c>
    </row>
    <row r="2902" spans="1:20" x14ac:dyDescent="0.25">
      <c r="A2902">
        <v>244597</v>
      </c>
      <c r="B2902" t="s">
        <v>14061</v>
      </c>
      <c r="C2902" t="s">
        <v>13053</v>
      </c>
      <c r="D2902" t="s">
        <v>13054</v>
      </c>
      <c r="E2902" t="s">
        <v>13055</v>
      </c>
      <c r="F2902">
        <v>2006</v>
      </c>
      <c r="G2902" t="s">
        <v>8690</v>
      </c>
      <c r="H2902" t="s">
        <v>14062</v>
      </c>
      <c r="I2902" t="s">
        <v>14063</v>
      </c>
      <c r="J2902" t="s">
        <v>26</v>
      </c>
      <c r="K2902" t="s">
        <v>27</v>
      </c>
      <c r="L2902" t="b">
        <v>1</v>
      </c>
      <c r="M2902" t="s">
        <v>14064</v>
      </c>
      <c r="N2902" t="str">
        <f>"616.32"</f>
        <v>616.32</v>
      </c>
      <c r="P2902" t="b">
        <v>0</v>
      </c>
      <c r="R2902" t="str">
        <f>"9781904392552"</f>
        <v>9781904392552</v>
      </c>
      <c r="S2902" t="str">
        <f>"9781846925634"</f>
        <v>9781846925634</v>
      </c>
      <c r="T2902">
        <v>283799092</v>
      </c>
    </row>
    <row r="2903" spans="1:20" x14ac:dyDescent="0.25">
      <c r="A2903">
        <v>244596</v>
      </c>
      <c r="B2903" t="s">
        <v>14065</v>
      </c>
      <c r="D2903" t="s">
        <v>13054</v>
      </c>
      <c r="E2903" t="s">
        <v>13055</v>
      </c>
      <c r="F2903">
        <v>2006</v>
      </c>
      <c r="G2903" t="s">
        <v>7429</v>
      </c>
      <c r="H2903" t="s">
        <v>14066</v>
      </c>
      <c r="I2903" t="s">
        <v>14067</v>
      </c>
      <c r="J2903" t="s">
        <v>26</v>
      </c>
      <c r="K2903" t="s">
        <v>27</v>
      </c>
      <c r="L2903" t="b">
        <v>1</v>
      </c>
      <c r="M2903" t="s">
        <v>14068</v>
      </c>
      <c r="N2903" t="str">
        <f>"616.7/16"</f>
        <v>616.7/16</v>
      </c>
      <c r="P2903" t="b">
        <v>0</v>
      </c>
      <c r="R2903" t="str">
        <f>"9781904392620"</f>
        <v>9781904392620</v>
      </c>
      <c r="S2903" t="str">
        <f>"9781846925610"</f>
        <v>9781846925610</v>
      </c>
      <c r="T2903">
        <v>283799090</v>
      </c>
    </row>
    <row r="2904" spans="1:20" x14ac:dyDescent="0.25">
      <c r="A2904">
        <v>244595</v>
      </c>
      <c r="B2904" t="s">
        <v>14019</v>
      </c>
      <c r="C2904" t="s">
        <v>13053</v>
      </c>
      <c r="D2904" t="s">
        <v>13054</v>
      </c>
      <c r="E2904" t="s">
        <v>13055</v>
      </c>
      <c r="F2904">
        <v>2007</v>
      </c>
      <c r="G2904" t="s">
        <v>10034</v>
      </c>
      <c r="H2904" t="s">
        <v>14069</v>
      </c>
      <c r="I2904" t="s">
        <v>14070</v>
      </c>
      <c r="J2904" t="s">
        <v>26</v>
      </c>
      <c r="K2904" t="s">
        <v>27</v>
      </c>
      <c r="L2904" t="b">
        <v>1</v>
      </c>
      <c r="M2904" t="s">
        <v>14071</v>
      </c>
      <c r="N2904" t="str">
        <f>"616.2/38"</f>
        <v>616.2/38</v>
      </c>
      <c r="P2904" t="b">
        <v>0</v>
      </c>
      <c r="R2904" t="str">
        <f>"9781904392187"</f>
        <v>9781904392187</v>
      </c>
      <c r="S2904" t="str">
        <f>"9781846925276"</f>
        <v>9781846925276</v>
      </c>
      <c r="T2904">
        <v>283807119</v>
      </c>
    </row>
    <row r="2905" spans="1:20" x14ac:dyDescent="0.25">
      <c r="A2905">
        <v>244594</v>
      </c>
      <c r="B2905" t="s">
        <v>14072</v>
      </c>
      <c r="D2905" t="s">
        <v>13054</v>
      </c>
      <c r="E2905" t="s">
        <v>13055</v>
      </c>
      <c r="F2905">
        <v>2007</v>
      </c>
      <c r="G2905" t="s">
        <v>12583</v>
      </c>
      <c r="H2905" t="s">
        <v>14073</v>
      </c>
      <c r="I2905" t="s">
        <v>14074</v>
      </c>
      <c r="J2905" t="s">
        <v>26</v>
      </c>
      <c r="K2905" t="s">
        <v>27</v>
      </c>
      <c r="L2905" t="b">
        <v>1</v>
      </c>
      <c r="M2905" t="s">
        <v>14075</v>
      </c>
      <c r="N2905" t="str">
        <f>"616.89/8"</f>
        <v>616.89/8</v>
      </c>
      <c r="P2905" t="b">
        <v>0</v>
      </c>
      <c r="R2905" t="str">
        <f>"9781904392040"</f>
        <v>9781904392040</v>
      </c>
      <c r="S2905" t="str">
        <f>"9781846925146"</f>
        <v>9781846925146</v>
      </c>
      <c r="T2905">
        <v>367599080</v>
      </c>
    </row>
    <row r="2906" spans="1:20" x14ac:dyDescent="0.25">
      <c r="A2906">
        <v>244593</v>
      </c>
      <c r="B2906" t="s">
        <v>14076</v>
      </c>
      <c r="D2906" t="s">
        <v>13054</v>
      </c>
      <c r="E2906" t="s">
        <v>13055</v>
      </c>
      <c r="F2906">
        <v>2008</v>
      </c>
      <c r="G2906" t="s">
        <v>11724</v>
      </c>
      <c r="H2906" t="s">
        <v>14077</v>
      </c>
      <c r="I2906" t="s">
        <v>14078</v>
      </c>
      <c r="J2906" t="s">
        <v>26</v>
      </c>
      <c r="K2906" t="s">
        <v>27</v>
      </c>
      <c r="L2906" t="b">
        <v>1</v>
      </c>
      <c r="M2906" t="s">
        <v>14079</v>
      </c>
      <c r="N2906" t="str">
        <f>"613/.0424"</f>
        <v>613/.0424</v>
      </c>
      <c r="P2906" t="b">
        <v>0</v>
      </c>
      <c r="R2906" t="str">
        <f>"9781846920288"</f>
        <v>9781846920288</v>
      </c>
      <c r="S2906" t="str">
        <f>"9781846925863"</f>
        <v>9781846925863</v>
      </c>
      <c r="T2906">
        <v>277089954</v>
      </c>
    </row>
    <row r="2907" spans="1:20" x14ac:dyDescent="0.25">
      <c r="A2907">
        <v>244592</v>
      </c>
      <c r="B2907" t="s">
        <v>14080</v>
      </c>
      <c r="D2907" t="s">
        <v>13054</v>
      </c>
      <c r="E2907" t="s">
        <v>13055</v>
      </c>
      <c r="F2907">
        <v>2008</v>
      </c>
      <c r="G2907" t="s">
        <v>166</v>
      </c>
      <c r="H2907" t="s">
        <v>14081</v>
      </c>
      <c r="I2907" t="s">
        <v>14082</v>
      </c>
      <c r="J2907" t="s">
        <v>26</v>
      </c>
      <c r="K2907" t="s">
        <v>27</v>
      </c>
      <c r="L2907" t="b">
        <v>1</v>
      </c>
      <c r="M2907" t="s">
        <v>14083</v>
      </c>
      <c r="N2907" t="str">
        <f>"617.9/6"</f>
        <v>617.9/6</v>
      </c>
      <c r="P2907" t="b">
        <v>0</v>
      </c>
      <c r="R2907" t="str">
        <f>"9781846920035"</f>
        <v>9781846920035</v>
      </c>
      <c r="S2907" t="str">
        <f>"9781846925856"</f>
        <v>9781846925856</v>
      </c>
      <c r="T2907">
        <v>277086635</v>
      </c>
    </row>
    <row r="2908" spans="1:20" x14ac:dyDescent="0.25">
      <c r="A2908">
        <v>244590</v>
      </c>
      <c r="B2908" t="s">
        <v>14084</v>
      </c>
      <c r="D2908" t="s">
        <v>13054</v>
      </c>
      <c r="E2908" t="s">
        <v>13055</v>
      </c>
      <c r="F2908">
        <v>2007</v>
      </c>
      <c r="G2908" t="s">
        <v>8669</v>
      </c>
      <c r="H2908" t="s">
        <v>14085</v>
      </c>
      <c r="I2908" t="s">
        <v>14086</v>
      </c>
      <c r="J2908" t="s">
        <v>26</v>
      </c>
      <c r="K2908" t="s">
        <v>27</v>
      </c>
      <c r="L2908" t="b">
        <v>1</v>
      </c>
      <c r="M2908" t="s">
        <v>14087</v>
      </c>
      <c r="N2908" t="str">
        <f>"616.99/463"</f>
        <v>616.99/463</v>
      </c>
      <c r="O2908" t="s">
        <v>13999</v>
      </c>
      <c r="P2908" t="b">
        <v>0</v>
      </c>
      <c r="R2908" t="str">
        <f>"9781904392880"</f>
        <v>9781904392880</v>
      </c>
      <c r="S2908" t="str">
        <f>"9781846925801"</f>
        <v>9781846925801</v>
      </c>
      <c r="T2908">
        <v>283799088</v>
      </c>
    </row>
    <row r="2909" spans="1:20" x14ac:dyDescent="0.25">
      <c r="A2909">
        <v>244589</v>
      </c>
      <c r="B2909" t="s">
        <v>14088</v>
      </c>
      <c r="D2909" t="s">
        <v>13054</v>
      </c>
      <c r="E2909" t="s">
        <v>13055</v>
      </c>
      <c r="F2909">
        <v>2007</v>
      </c>
      <c r="G2909" t="s">
        <v>9212</v>
      </c>
      <c r="H2909" t="s">
        <v>14089</v>
      </c>
      <c r="I2909" t="s">
        <v>14090</v>
      </c>
      <c r="J2909" t="s">
        <v>26</v>
      </c>
      <c r="K2909" t="s">
        <v>27</v>
      </c>
      <c r="L2909" t="b">
        <v>1</v>
      </c>
      <c r="M2909" t="s">
        <v>14091</v>
      </c>
      <c r="N2909" t="str">
        <f>"616.3/997"</f>
        <v>616.3/997</v>
      </c>
      <c r="P2909" t="b">
        <v>0</v>
      </c>
      <c r="R2909" t="str">
        <f>"9781904392965"</f>
        <v>9781904392965</v>
      </c>
      <c r="S2909" t="str">
        <f>"9781846925733"</f>
        <v>9781846925733</v>
      </c>
      <c r="T2909">
        <v>283799086</v>
      </c>
    </row>
    <row r="2910" spans="1:20" x14ac:dyDescent="0.25">
      <c r="A2910">
        <v>244588</v>
      </c>
      <c r="B2910" t="s">
        <v>14092</v>
      </c>
      <c r="D2910" t="s">
        <v>13054</v>
      </c>
      <c r="E2910" t="s">
        <v>13055</v>
      </c>
      <c r="F2910">
        <v>2007</v>
      </c>
      <c r="G2910" t="s">
        <v>7429</v>
      </c>
      <c r="H2910" t="s">
        <v>14093</v>
      </c>
      <c r="I2910" t="s">
        <v>14094</v>
      </c>
      <c r="J2910" t="s">
        <v>26</v>
      </c>
      <c r="K2910" t="s">
        <v>27</v>
      </c>
      <c r="L2910" t="b">
        <v>1</v>
      </c>
      <c r="M2910" t="s">
        <v>14095</v>
      </c>
      <c r="N2910" t="str">
        <f>"616.7/16"</f>
        <v>616.7/16</v>
      </c>
      <c r="P2910" t="b">
        <v>0</v>
      </c>
      <c r="R2910" t="str">
        <f>"9781904392736"</f>
        <v>9781904392736</v>
      </c>
      <c r="S2910" t="str">
        <f>"9781846925832"</f>
        <v>9781846925832</v>
      </c>
      <c r="T2910">
        <v>283807116</v>
      </c>
    </row>
    <row r="2911" spans="1:20" x14ac:dyDescent="0.25">
      <c r="A2911">
        <v>244587</v>
      </c>
      <c r="B2911" t="s">
        <v>14096</v>
      </c>
      <c r="D2911" t="s">
        <v>13054</v>
      </c>
      <c r="E2911" t="s">
        <v>13055</v>
      </c>
      <c r="F2911">
        <v>2008</v>
      </c>
      <c r="G2911" t="s">
        <v>1054</v>
      </c>
      <c r="H2911" t="s">
        <v>14097</v>
      </c>
      <c r="I2911" t="s">
        <v>14098</v>
      </c>
      <c r="J2911" t="s">
        <v>26</v>
      </c>
      <c r="K2911" t="s">
        <v>27</v>
      </c>
      <c r="L2911" t="b">
        <v>1</v>
      </c>
      <c r="M2911" t="s">
        <v>14099</v>
      </c>
      <c r="N2911" t="str">
        <f>"616.1/29"</f>
        <v>616.1/29</v>
      </c>
      <c r="P2911" t="b">
        <v>0</v>
      </c>
      <c r="R2911" t="str">
        <f>"9781904392408"</f>
        <v>9781904392408</v>
      </c>
      <c r="S2911" t="str">
        <f>"9781846925481"</f>
        <v>9781846925481</v>
      </c>
      <c r="T2911">
        <v>283807114</v>
      </c>
    </row>
    <row r="2912" spans="1:20" x14ac:dyDescent="0.25">
      <c r="A2912">
        <v>244586</v>
      </c>
      <c r="B2912" t="s">
        <v>14100</v>
      </c>
      <c r="D2912" t="s">
        <v>13054</v>
      </c>
      <c r="E2912" t="s">
        <v>13055</v>
      </c>
      <c r="F2912">
        <v>2008</v>
      </c>
      <c r="G2912" t="s">
        <v>1054</v>
      </c>
      <c r="H2912" t="s">
        <v>14101</v>
      </c>
      <c r="I2912" t="s">
        <v>14102</v>
      </c>
      <c r="J2912" t="s">
        <v>26</v>
      </c>
      <c r="K2912" t="s">
        <v>27</v>
      </c>
      <c r="L2912" t="b">
        <v>1</v>
      </c>
      <c r="M2912" t="s">
        <v>14103</v>
      </c>
      <c r="N2912" t="str">
        <f>"616.1/071"</f>
        <v>616.1/071</v>
      </c>
      <c r="P2912" t="b">
        <v>0</v>
      </c>
      <c r="R2912" t="str">
        <f>"9781904392644"</f>
        <v>9781904392644</v>
      </c>
      <c r="S2912" t="str">
        <f>"9781846925740"</f>
        <v>9781846925740</v>
      </c>
      <c r="T2912">
        <v>283799085</v>
      </c>
    </row>
    <row r="2913" spans="1:20" x14ac:dyDescent="0.25">
      <c r="A2913">
        <v>244585</v>
      </c>
      <c r="B2913" t="s">
        <v>14104</v>
      </c>
      <c r="C2913" t="s">
        <v>13856</v>
      </c>
      <c r="D2913" t="s">
        <v>13054</v>
      </c>
      <c r="E2913" t="s">
        <v>13055</v>
      </c>
      <c r="F2913">
        <v>2007</v>
      </c>
      <c r="G2913" t="s">
        <v>9212</v>
      </c>
      <c r="H2913" t="s">
        <v>14105</v>
      </c>
      <c r="I2913" t="s">
        <v>9961</v>
      </c>
      <c r="J2913" t="s">
        <v>26</v>
      </c>
      <c r="K2913" t="s">
        <v>27</v>
      </c>
      <c r="L2913" t="b">
        <v>1</v>
      </c>
      <c r="M2913" t="s">
        <v>14106</v>
      </c>
      <c r="N2913" t="str">
        <f>"616.3/997"</f>
        <v>616.3/997</v>
      </c>
      <c r="P2913" t="b">
        <v>0</v>
      </c>
      <c r="R2913" t="str">
        <f>"9781904392446"</f>
        <v>9781904392446</v>
      </c>
      <c r="S2913" t="str">
        <f>"9781846925511"</f>
        <v>9781846925511</v>
      </c>
      <c r="T2913">
        <v>283807110</v>
      </c>
    </row>
    <row r="2914" spans="1:20" x14ac:dyDescent="0.25">
      <c r="A2914">
        <v>244584</v>
      </c>
      <c r="B2914" t="s">
        <v>14107</v>
      </c>
      <c r="C2914" t="s">
        <v>13856</v>
      </c>
      <c r="D2914" t="s">
        <v>13054</v>
      </c>
      <c r="E2914" t="s">
        <v>13055</v>
      </c>
      <c r="F2914">
        <v>2007</v>
      </c>
      <c r="G2914" t="s">
        <v>45</v>
      </c>
      <c r="H2914" t="s">
        <v>14108</v>
      </c>
      <c r="I2914" t="s">
        <v>14109</v>
      </c>
      <c r="J2914" t="s">
        <v>26</v>
      </c>
      <c r="K2914" t="s">
        <v>27</v>
      </c>
      <c r="L2914" t="b">
        <v>1</v>
      </c>
      <c r="M2914" t="s">
        <v>14110</v>
      </c>
      <c r="N2914" t="str">
        <f>"616.83"</f>
        <v>616.83</v>
      </c>
      <c r="P2914" t="b">
        <v>0</v>
      </c>
      <c r="R2914" t="str">
        <f>"9781904392378"</f>
        <v>9781904392378</v>
      </c>
      <c r="S2914" t="str">
        <f>"9781846925450"</f>
        <v>9781846925450</v>
      </c>
      <c r="T2914">
        <v>283807106</v>
      </c>
    </row>
    <row r="2915" spans="1:20" x14ac:dyDescent="0.25">
      <c r="A2915">
        <v>243544</v>
      </c>
      <c r="B2915" t="s">
        <v>14111</v>
      </c>
      <c r="D2915" t="s">
        <v>14112</v>
      </c>
      <c r="E2915" t="s">
        <v>14112</v>
      </c>
      <c r="F2915">
        <v>2008</v>
      </c>
      <c r="G2915" t="s">
        <v>63</v>
      </c>
      <c r="H2915" t="s">
        <v>14113</v>
      </c>
      <c r="I2915" t="s">
        <v>14114</v>
      </c>
      <c r="J2915" t="s">
        <v>26</v>
      </c>
      <c r="K2915" t="s">
        <v>27</v>
      </c>
      <c r="L2915" t="b">
        <v>1</v>
      </c>
      <c r="M2915" t="s">
        <v>14115</v>
      </c>
      <c r="N2915" t="str">
        <f>"791.43/7"</f>
        <v>791.43/7</v>
      </c>
      <c r="P2915" t="b">
        <v>0</v>
      </c>
      <c r="R2915" t="str">
        <f>"9780813542690"</f>
        <v>9780813542690</v>
      </c>
      <c r="S2915" t="str">
        <f>"9780813544755"</f>
        <v>9780813544755</v>
      </c>
      <c r="T2915">
        <v>276170255</v>
      </c>
    </row>
    <row r="2916" spans="1:20" x14ac:dyDescent="0.25">
      <c r="A2916">
        <v>243199</v>
      </c>
      <c r="B2916" t="s">
        <v>14116</v>
      </c>
      <c r="D2916" t="s">
        <v>1533</v>
      </c>
      <c r="E2916" t="s">
        <v>1533</v>
      </c>
      <c r="F2916">
        <v>2008</v>
      </c>
      <c r="G2916" t="s">
        <v>14117</v>
      </c>
      <c r="H2916" t="s">
        <v>14118</v>
      </c>
      <c r="I2916" t="s">
        <v>14119</v>
      </c>
      <c r="J2916" t="s">
        <v>26</v>
      </c>
      <c r="K2916" t="s">
        <v>27</v>
      </c>
      <c r="L2916" t="b">
        <v>1</v>
      </c>
      <c r="M2916" t="s">
        <v>14120</v>
      </c>
      <c r="N2916" t="str">
        <f>"439.3101/43"</f>
        <v>439.3101/43</v>
      </c>
      <c r="O2916" t="s">
        <v>14121</v>
      </c>
      <c r="P2916" t="b">
        <v>0</v>
      </c>
      <c r="R2916" t="str">
        <f>"9789027255051"</f>
        <v>9789027255051</v>
      </c>
      <c r="S2916" t="str">
        <f>"9789027290731"</f>
        <v>9789027290731</v>
      </c>
      <c r="T2916">
        <v>273865333</v>
      </c>
    </row>
    <row r="2917" spans="1:20" x14ac:dyDescent="0.25">
      <c r="A2917">
        <v>242986</v>
      </c>
      <c r="B2917" t="s">
        <v>14122</v>
      </c>
      <c r="D2917" t="s">
        <v>5731</v>
      </c>
      <c r="E2917" t="s">
        <v>6240</v>
      </c>
      <c r="F2917">
        <v>2006</v>
      </c>
      <c r="G2917" t="s">
        <v>676</v>
      </c>
      <c r="H2917" t="s">
        <v>14123</v>
      </c>
      <c r="I2917" t="s">
        <v>14124</v>
      </c>
      <c r="J2917" t="s">
        <v>26</v>
      </c>
      <c r="K2917" t="s">
        <v>86</v>
      </c>
      <c r="L2917" t="b">
        <v>1</v>
      </c>
      <c r="M2917" t="s">
        <v>14125</v>
      </c>
      <c r="N2917" t="str">
        <f>"792.0973/03"</f>
        <v>792.0973/03</v>
      </c>
      <c r="O2917" t="s">
        <v>7775</v>
      </c>
      <c r="P2917" t="b">
        <v>0</v>
      </c>
      <c r="R2917" t="str">
        <f>"9780810853157"</f>
        <v>9780810853157</v>
      </c>
      <c r="S2917" t="str">
        <f>"9780810864894"</f>
        <v>9780810864894</v>
      </c>
      <c r="T2917">
        <v>273812529</v>
      </c>
    </row>
    <row r="2918" spans="1:20" x14ac:dyDescent="0.25">
      <c r="A2918">
        <v>238428</v>
      </c>
      <c r="B2918" t="s">
        <v>1108</v>
      </c>
      <c r="D2918" t="s">
        <v>203</v>
      </c>
      <c r="E2918" t="s">
        <v>1109</v>
      </c>
      <c r="F2918">
        <v>2007</v>
      </c>
      <c r="G2918" t="s">
        <v>1110</v>
      </c>
      <c r="H2918" t="s">
        <v>14126</v>
      </c>
      <c r="I2918" t="s">
        <v>14127</v>
      </c>
      <c r="J2918" t="s">
        <v>26</v>
      </c>
      <c r="K2918" t="s">
        <v>27</v>
      </c>
      <c r="L2918" t="b">
        <v>1</v>
      </c>
      <c r="M2918" t="s">
        <v>14128</v>
      </c>
      <c r="N2918" t="str">
        <f>"362.2068"</f>
        <v>362.2068</v>
      </c>
      <c r="P2918" t="b">
        <v>0</v>
      </c>
      <c r="R2918" t="str">
        <f>"9781904671497"</f>
        <v>9781904671497</v>
      </c>
      <c r="S2918" t="str">
        <f>"9781435674639"</f>
        <v>9781435674639</v>
      </c>
      <c r="T2918">
        <v>276388018</v>
      </c>
    </row>
    <row r="2919" spans="1:20" x14ac:dyDescent="0.25">
      <c r="A2919">
        <v>238300</v>
      </c>
      <c r="B2919" t="s">
        <v>14129</v>
      </c>
      <c r="D2919" t="s">
        <v>5731</v>
      </c>
      <c r="E2919" t="s">
        <v>6240</v>
      </c>
      <c r="F2919">
        <v>2007</v>
      </c>
      <c r="G2919" t="s">
        <v>3705</v>
      </c>
      <c r="H2919" t="s">
        <v>14130</v>
      </c>
      <c r="J2919" t="s">
        <v>26</v>
      </c>
      <c r="K2919" t="s">
        <v>86</v>
      </c>
      <c r="L2919" t="b">
        <v>1</v>
      </c>
      <c r="M2919" t="s">
        <v>14131</v>
      </c>
      <c r="N2919" t="str">
        <f>"943.73003"</f>
        <v>943.73003</v>
      </c>
      <c r="O2919" t="s">
        <v>11353</v>
      </c>
      <c r="P2919" t="b">
        <v>0</v>
      </c>
      <c r="R2919" t="str">
        <f>"9780810855359"</f>
        <v>9780810855359</v>
      </c>
      <c r="S2919" t="str">
        <f>"9780810864696"</f>
        <v>9780810864696</v>
      </c>
      <c r="T2919">
        <v>273051872</v>
      </c>
    </row>
    <row r="2920" spans="1:20" x14ac:dyDescent="0.25">
      <c r="A2920">
        <v>238295</v>
      </c>
      <c r="B2920" t="s">
        <v>14132</v>
      </c>
      <c r="D2920" t="s">
        <v>5501</v>
      </c>
      <c r="E2920" t="s">
        <v>6240</v>
      </c>
      <c r="F2920">
        <v>2006</v>
      </c>
      <c r="G2920" t="s">
        <v>14133</v>
      </c>
      <c r="H2920" t="s">
        <v>14134</v>
      </c>
      <c r="J2920" t="s">
        <v>26</v>
      </c>
      <c r="K2920" t="s">
        <v>27</v>
      </c>
      <c r="L2920" t="b">
        <v>1</v>
      </c>
      <c r="M2920" t="s">
        <v>14135</v>
      </c>
      <c r="N2920" t="str">
        <f>"961.2003"</f>
        <v>961.2003</v>
      </c>
      <c r="O2920" t="s">
        <v>10537</v>
      </c>
      <c r="P2920" t="b">
        <v>0</v>
      </c>
      <c r="R2920" t="str">
        <f>"9780810853034"</f>
        <v>9780810853034</v>
      </c>
      <c r="S2920" t="str">
        <f>"9780810864979"</f>
        <v>9780810864979</v>
      </c>
      <c r="T2920">
        <v>263921689</v>
      </c>
    </row>
    <row r="2921" spans="1:20" x14ac:dyDescent="0.25">
      <c r="A2921">
        <v>238285</v>
      </c>
      <c r="B2921" t="s">
        <v>14136</v>
      </c>
      <c r="D2921" t="s">
        <v>5731</v>
      </c>
      <c r="E2921" t="s">
        <v>6240</v>
      </c>
      <c r="F2921">
        <v>2006</v>
      </c>
      <c r="G2921" t="s">
        <v>182</v>
      </c>
      <c r="H2921" t="s">
        <v>14137</v>
      </c>
      <c r="J2921" t="s">
        <v>26</v>
      </c>
      <c r="K2921" t="s">
        <v>86</v>
      </c>
      <c r="L2921" t="b">
        <v>1</v>
      </c>
      <c r="M2921" t="s">
        <v>14138</v>
      </c>
      <c r="N2921" t="str">
        <f>"951.05/6"</f>
        <v>951.05/6</v>
      </c>
      <c r="O2921" t="s">
        <v>13877</v>
      </c>
      <c r="P2921" t="b">
        <v>0</v>
      </c>
      <c r="R2921" t="str">
        <f>"9780810854611"</f>
        <v>9780810854611</v>
      </c>
      <c r="S2921" t="str">
        <f>"9780810864917"</f>
        <v>9780810864917</v>
      </c>
      <c r="T2921">
        <v>263614942</v>
      </c>
    </row>
    <row r="2922" spans="1:20" x14ac:dyDescent="0.25">
      <c r="A2922">
        <v>238284</v>
      </c>
      <c r="B2922" t="s">
        <v>14139</v>
      </c>
      <c r="D2922" t="s">
        <v>5731</v>
      </c>
      <c r="E2922" t="s">
        <v>6240</v>
      </c>
      <c r="F2922">
        <v>2006</v>
      </c>
      <c r="G2922" t="s">
        <v>11346</v>
      </c>
      <c r="H2922" t="s">
        <v>14140</v>
      </c>
      <c r="J2922" t="s">
        <v>26</v>
      </c>
      <c r="K2922" t="s">
        <v>86</v>
      </c>
      <c r="L2922" t="b">
        <v>1</v>
      </c>
      <c r="M2922" t="s">
        <v>14141</v>
      </c>
      <c r="N2922" t="str">
        <f>"959.1003"</f>
        <v>959.1003</v>
      </c>
      <c r="O2922" t="s">
        <v>7766</v>
      </c>
      <c r="P2922" t="b">
        <v>0</v>
      </c>
      <c r="R2922" t="str">
        <f>"9780810854765"</f>
        <v>9780810854765</v>
      </c>
      <c r="S2922" t="str">
        <f>"9780810864863"</f>
        <v>9780810864863</v>
      </c>
      <c r="T2922">
        <v>273707972</v>
      </c>
    </row>
    <row r="2923" spans="1:20" x14ac:dyDescent="0.25">
      <c r="A2923">
        <v>238281</v>
      </c>
      <c r="B2923" t="s">
        <v>14142</v>
      </c>
      <c r="D2923" t="s">
        <v>5731</v>
      </c>
      <c r="E2923" t="s">
        <v>6240</v>
      </c>
      <c r="F2923">
        <v>2006</v>
      </c>
      <c r="G2923" t="s">
        <v>182</v>
      </c>
      <c r="H2923" t="s">
        <v>14143</v>
      </c>
      <c r="I2923" t="s">
        <v>14144</v>
      </c>
      <c r="J2923" t="s">
        <v>26</v>
      </c>
      <c r="K2923" t="s">
        <v>86</v>
      </c>
      <c r="L2923" t="b">
        <v>1</v>
      </c>
      <c r="M2923" t="s">
        <v>14145</v>
      </c>
      <c r="N2923" t="str">
        <f>"961/.004933003"</f>
        <v>961/.004933003</v>
      </c>
      <c r="O2923" t="s">
        <v>11055</v>
      </c>
      <c r="P2923" t="b">
        <v>0</v>
      </c>
      <c r="R2923" t="str">
        <f>"9780810854529"</f>
        <v>9780810854529</v>
      </c>
      <c r="S2923" t="str">
        <f>"9780810864900"</f>
        <v>9780810864900</v>
      </c>
      <c r="T2923">
        <v>273707893</v>
      </c>
    </row>
    <row r="2924" spans="1:20" x14ac:dyDescent="0.25">
      <c r="A2924">
        <v>238278</v>
      </c>
      <c r="B2924" t="s">
        <v>14146</v>
      </c>
      <c r="D2924" t="s">
        <v>5731</v>
      </c>
      <c r="E2924" t="s">
        <v>6240</v>
      </c>
      <c r="F2924">
        <v>2006</v>
      </c>
      <c r="G2924" t="s">
        <v>182</v>
      </c>
      <c r="H2924" t="s">
        <v>14147</v>
      </c>
      <c r="J2924" t="s">
        <v>26</v>
      </c>
      <c r="K2924" t="s">
        <v>86</v>
      </c>
      <c r="L2924" t="b">
        <v>1</v>
      </c>
      <c r="M2924" t="s">
        <v>14148</v>
      </c>
      <c r="N2924" t="str">
        <f>"965.003"</f>
        <v>965.003</v>
      </c>
      <c r="O2924" t="s">
        <v>10537</v>
      </c>
      <c r="P2924" t="b">
        <v>0</v>
      </c>
      <c r="R2924" t="str">
        <f>"9780810853409"</f>
        <v>9780810853409</v>
      </c>
      <c r="S2924" t="str">
        <f>"9780810864801"</f>
        <v>9780810864801</v>
      </c>
      <c r="T2924">
        <v>318584870</v>
      </c>
    </row>
    <row r="2925" spans="1:20" x14ac:dyDescent="0.25">
      <c r="A2925">
        <v>238267</v>
      </c>
      <c r="B2925" t="s">
        <v>14149</v>
      </c>
      <c r="D2925" t="s">
        <v>5731</v>
      </c>
      <c r="E2925" t="s">
        <v>6240</v>
      </c>
      <c r="F2925">
        <v>2007</v>
      </c>
      <c r="G2925" t="s">
        <v>14150</v>
      </c>
      <c r="H2925" t="s">
        <v>14151</v>
      </c>
      <c r="J2925" t="s">
        <v>26</v>
      </c>
      <c r="K2925" t="s">
        <v>86</v>
      </c>
      <c r="L2925" t="b">
        <v>1</v>
      </c>
      <c r="M2925" t="s">
        <v>14152</v>
      </c>
      <c r="N2925" t="str">
        <f>"327.7305603"</f>
        <v>327.7305603</v>
      </c>
      <c r="O2925" t="s">
        <v>14153</v>
      </c>
      <c r="P2925" t="b">
        <v>0</v>
      </c>
      <c r="R2925" t="str">
        <f>"9780810855496"</f>
        <v>9780810855496</v>
      </c>
      <c r="S2925" t="str">
        <f>"9780810864566"</f>
        <v>9780810864566</v>
      </c>
      <c r="T2925">
        <v>263979338</v>
      </c>
    </row>
    <row r="2926" spans="1:20" x14ac:dyDescent="0.25">
      <c r="A2926">
        <v>238254</v>
      </c>
      <c r="B2926" t="s">
        <v>14154</v>
      </c>
      <c r="D2926" t="s">
        <v>5731</v>
      </c>
      <c r="E2926" t="s">
        <v>6240</v>
      </c>
      <c r="F2926">
        <v>2007</v>
      </c>
      <c r="G2926" t="s">
        <v>197</v>
      </c>
      <c r="H2926" t="s">
        <v>14155</v>
      </c>
      <c r="I2926" t="s">
        <v>14156</v>
      </c>
      <c r="J2926" t="s">
        <v>26</v>
      </c>
      <c r="K2926" t="s">
        <v>86</v>
      </c>
      <c r="L2926" t="b">
        <v>1</v>
      </c>
      <c r="M2926" t="s">
        <v>14157</v>
      </c>
      <c r="N2926" t="str">
        <f>"809/.9113"</f>
        <v>809/.9113</v>
      </c>
      <c r="O2926" t="s">
        <v>7775</v>
      </c>
      <c r="P2926" t="b">
        <v>0</v>
      </c>
      <c r="R2926" t="str">
        <f>"9780810855984"</f>
        <v>9780810855984</v>
      </c>
      <c r="S2926" t="str">
        <f>"9780810864542"</f>
        <v>9780810864542</v>
      </c>
      <c r="T2926">
        <v>263935245</v>
      </c>
    </row>
    <row r="2927" spans="1:20" x14ac:dyDescent="0.25">
      <c r="A2927">
        <v>236834</v>
      </c>
      <c r="B2927" t="s">
        <v>14158</v>
      </c>
      <c r="D2927" t="s">
        <v>10883</v>
      </c>
      <c r="E2927" t="s">
        <v>10884</v>
      </c>
      <c r="F2927">
        <v>2008</v>
      </c>
      <c r="G2927" t="s">
        <v>11242</v>
      </c>
      <c r="H2927" t="s">
        <v>14159</v>
      </c>
      <c r="I2927" t="s">
        <v>14160</v>
      </c>
      <c r="J2927" t="s">
        <v>26</v>
      </c>
      <c r="K2927" t="s">
        <v>27</v>
      </c>
      <c r="L2927" t="b">
        <v>1</v>
      </c>
      <c r="M2927" t="s">
        <v>14161</v>
      </c>
      <c r="N2927" t="str">
        <f>"363.11"</f>
        <v>363.11</v>
      </c>
      <c r="P2927" t="b">
        <v>0</v>
      </c>
      <c r="R2927" t="str">
        <f>"9780981558943"</f>
        <v>9780981558943</v>
      </c>
      <c r="S2927" t="str">
        <f>"9781605572079"</f>
        <v>9781605572079</v>
      </c>
      <c r="T2927">
        <v>303512525</v>
      </c>
    </row>
    <row r="2928" spans="1:20" x14ac:dyDescent="0.25">
      <c r="A2928">
        <v>236615</v>
      </c>
      <c r="B2928" t="s">
        <v>14162</v>
      </c>
      <c r="C2928" t="s">
        <v>14163</v>
      </c>
      <c r="D2928" t="s">
        <v>1526</v>
      </c>
      <c r="E2928" t="s">
        <v>1526</v>
      </c>
      <c r="F2928">
        <v>2006</v>
      </c>
      <c r="G2928" t="s">
        <v>6270</v>
      </c>
      <c r="H2928" t="s">
        <v>14164</v>
      </c>
      <c r="I2928" t="s">
        <v>14165</v>
      </c>
      <c r="J2928" t="s">
        <v>26</v>
      </c>
      <c r="K2928" t="s">
        <v>27</v>
      </c>
      <c r="L2928" t="b">
        <v>1</v>
      </c>
      <c r="M2928" t="s">
        <v>14166</v>
      </c>
      <c r="N2928" t="str">
        <f>"005.13/3"</f>
        <v>005.13/3</v>
      </c>
      <c r="P2928" t="b">
        <v>0</v>
      </c>
      <c r="R2928" t="str">
        <f>"9781904811909"</f>
        <v>9781904811909</v>
      </c>
      <c r="S2928" t="str">
        <f>"9781847190734"</f>
        <v>9781847190734</v>
      </c>
      <c r="T2928">
        <v>248105047</v>
      </c>
    </row>
    <row r="2929" spans="1:20" x14ac:dyDescent="0.25">
      <c r="A2929">
        <v>236614</v>
      </c>
      <c r="B2929" t="s">
        <v>14167</v>
      </c>
      <c r="C2929" t="s">
        <v>14168</v>
      </c>
      <c r="D2929" t="s">
        <v>1526</v>
      </c>
      <c r="E2929" t="s">
        <v>1526</v>
      </c>
      <c r="F2929">
        <v>2006</v>
      </c>
      <c r="G2929" t="s">
        <v>14169</v>
      </c>
      <c r="H2929" t="s">
        <v>14170</v>
      </c>
      <c r="I2929" t="s">
        <v>14171</v>
      </c>
      <c r="J2929" t="s">
        <v>26</v>
      </c>
      <c r="K2929" t="s">
        <v>27</v>
      </c>
      <c r="L2929" t="b">
        <v>1</v>
      </c>
      <c r="M2929" t="s">
        <v>14172</v>
      </c>
      <c r="N2929" t="str">
        <f>"006.6"</f>
        <v>006.6</v>
      </c>
      <c r="P2929" t="b">
        <v>0</v>
      </c>
      <c r="R2929" t="str">
        <f>"9781904811862"</f>
        <v>9781904811862</v>
      </c>
      <c r="S2929" t="str">
        <f>"9781847190697"</f>
        <v>9781847190697</v>
      </c>
      <c r="T2929">
        <v>248086343</v>
      </c>
    </row>
    <row r="2930" spans="1:20" x14ac:dyDescent="0.25">
      <c r="A2930">
        <v>236613</v>
      </c>
      <c r="B2930" t="s">
        <v>14173</v>
      </c>
      <c r="C2930" t="s">
        <v>14174</v>
      </c>
      <c r="D2930" t="s">
        <v>1526</v>
      </c>
      <c r="E2930" t="s">
        <v>1526</v>
      </c>
      <c r="F2930">
        <v>2006</v>
      </c>
      <c r="G2930" t="s">
        <v>10286</v>
      </c>
      <c r="H2930" t="s">
        <v>14175</v>
      </c>
      <c r="I2930" t="s">
        <v>14176</v>
      </c>
      <c r="J2930" t="s">
        <v>26</v>
      </c>
      <c r="K2930" t="s">
        <v>27</v>
      </c>
      <c r="L2930" t="b">
        <v>1</v>
      </c>
      <c r="M2930" t="s">
        <v>14177</v>
      </c>
      <c r="N2930" t="str">
        <f>"005.2/76"</f>
        <v>005.2/76</v>
      </c>
      <c r="P2930" t="b">
        <v>0</v>
      </c>
      <c r="R2930" t="str">
        <f>"9781904811527"</f>
        <v>9781904811527</v>
      </c>
      <c r="S2930" t="str">
        <f>"9781847190390"</f>
        <v>9781847190390</v>
      </c>
      <c r="T2930">
        <v>250549678</v>
      </c>
    </row>
    <row r="2931" spans="1:20" x14ac:dyDescent="0.25">
      <c r="A2931">
        <v>236612</v>
      </c>
      <c r="B2931" t="s">
        <v>14178</v>
      </c>
      <c r="C2931" t="s">
        <v>14179</v>
      </c>
      <c r="D2931" t="s">
        <v>1526</v>
      </c>
      <c r="E2931" t="s">
        <v>1526</v>
      </c>
      <c r="F2931">
        <v>2006</v>
      </c>
      <c r="G2931" t="s">
        <v>9468</v>
      </c>
      <c r="H2931" t="s">
        <v>14180</v>
      </c>
      <c r="I2931" t="s">
        <v>14181</v>
      </c>
      <c r="J2931" t="s">
        <v>26</v>
      </c>
      <c r="K2931" t="s">
        <v>27</v>
      </c>
      <c r="L2931" t="b">
        <v>1</v>
      </c>
      <c r="M2931" t="s">
        <v>14182</v>
      </c>
      <c r="N2931" t="str">
        <f>"005.8"</f>
        <v>005.8</v>
      </c>
      <c r="P2931" t="b">
        <v>0</v>
      </c>
      <c r="R2931" t="str">
        <f>"9781904811367"</f>
        <v>9781904811367</v>
      </c>
      <c r="S2931" t="str">
        <f>"9781847190253"</f>
        <v>9781847190253</v>
      </c>
      <c r="T2931">
        <v>250538600</v>
      </c>
    </row>
    <row r="2932" spans="1:20" x14ac:dyDescent="0.25">
      <c r="A2932">
        <v>236611</v>
      </c>
      <c r="B2932" t="s">
        <v>14183</v>
      </c>
      <c r="C2932" t="s">
        <v>14184</v>
      </c>
      <c r="D2932" t="s">
        <v>1526</v>
      </c>
      <c r="E2932" t="s">
        <v>1526</v>
      </c>
      <c r="F2932">
        <v>2006</v>
      </c>
      <c r="G2932" t="s">
        <v>14185</v>
      </c>
      <c r="H2932" t="s">
        <v>14186</v>
      </c>
      <c r="I2932" t="s">
        <v>14187</v>
      </c>
      <c r="J2932" t="s">
        <v>26</v>
      </c>
      <c r="K2932" t="s">
        <v>27</v>
      </c>
      <c r="L2932" t="b">
        <v>1</v>
      </c>
      <c r="M2932" t="s">
        <v>14188</v>
      </c>
      <c r="N2932" t="str">
        <f>"005.75/65"</f>
        <v>005.75/65</v>
      </c>
      <c r="P2932" t="b">
        <v>0</v>
      </c>
      <c r="R2932" t="str">
        <f>"9781904811305"</f>
        <v>9781904811305</v>
      </c>
      <c r="S2932" t="str">
        <f>"9781847190208"</f>
        <v>9781847190208</v>
      </c>
      <c r="T2932">
        <v>248169826</v>
      </c>
    </row>
    <row r="2933" spans="1:20" x14ac:dyDescent="0.25">
      <c r="A2933">
        <v>236610</v>
      </c>
      <c r="B2933" t="s">
        <v>14189</v>
      </c>
      <c r="C2933" t="s">
        <v>14190</v>
      </c>
      <c r="D2933" t="s">
        <v>1526</v>
      </c>
      <c r="E2933" t="s">
        <v>1526</v>
      </c>
      <c r="F2933">
        <v>2006</v>
      </c>
      <c r="G2933" t="s">
        <v>13648</v>
      </c>
      <c r="H2933" t="s">
        <v>14191</v>
      </c>
      <c r="I2933" t="s">
        <v>14192</v>
      </c>
      <c r="J2933" t="s">
        <v>26</v>
      </c>
      <c r="K2933" t="s">
        <v>27</v>
      </c>
      <c r="L2933" t="b">
        <v>1</v>
      </c>
      <c r="M2933" t="s">
        <v>14193</v>
      </c>
      <c r="N2933" t="str">
        <f>"005.1"</f>
        <v>005.1</v>
      </c>
      <c r="P2933" t="b">
        <v>0</v>
      </c>
      <c r="R2933" t="str">
        <f>"9781904811213"</f>
        <v>9781904811213</v>
      </c>
      <c r="S2933" t="str">
        <f>"9781847190154"</f>
        <v>9781847190154</v>
      </c>
      <c r="T2933">
        <v>248152074</v>
      </c>
    </row>
    <row r="2934" spans="1:20" x14ac:dyDescent="0.25">
      <c r="A2934">
        <v>236609</v>
      </c>
      <c r="B2934" t="s">
        <v>14194</v>
      </c>
      <c r="C2934" t="s">
        <v>14195</v>
      </c>
      <c r="D2934" t="s">
        <v>1526</v>
      </c>
      <c r="E2934" t="s">
        <v>1526</v>
      </c>
      <c r="F2934">
        <v>2006</v>
      </c>
      <c r="G2934" t="s">
        <v>10394</v>
      </c>
      <c r="H2934" t="s">
        <v>14196</v>
      </c>
      <c r="I2934" t="s">
        <v>14197</v>
      </c>
      <c r="J2934" t="s">
        <v>26</v>
      </c>
      <c r="K2934" t="s">
        <v>27</v>
      </c>
      <c r="L2934" t="b">
        <v>1</v>
      </c>
      <c r="M2934" t="s">
        <v>14198</v>
      </c>
      <c r="N2934" t="str">
        <f>"005.2/762"</f>
        <v>005.2/762</v>
      </c>
      <c r="O2934" t="s">
        <v>8647</v>
      </c>
      <c r="P2934" t="b">
        <v>0</v>
      </c>
      <c r="R2934" t="str">
        <f>"9781904811190"</f>
        <v>9781904811190</v>
      </c>
      <c r="S2934" t="str">
        <f>"9781847190130"</f>
        <v>9781847190130</v>
      </c>
      <c r="T2934">
        <v>250566550</v>
      </c>
    </row>
    <row r="2935" spans="1:20" x14ac:dyDescent="0.25">
      <c r="A2935">
        <v>236608</v>
      </c>
      <c r="B2935" t="s">
        <v>14199</v>
      </c>
      <c r="C2935" t="s">
        <v>14200</v>
      </c>
      <c r="D2935" t="s">
        <v>1526</v>
      </c>
      <c r="E2935" t="s">
        <v>1526</v>
      </c>
      <c r="F2935">
        <v>2006</v>
      </c>
      <c r="G2935" t="s">
        <v>8643</v>
      </c>
      <c r="H2935" t="s">
        <v>14201</v>
      </c>
      <c r="I2935" t="s">
        <v>14202</v>
      </c>
      <c r="J2935" t="s">
        <v>26</v>
      </c>
      <c r="K2935" t="s">
        <v>27</v>
      </c>
      <c r="L2935" t="b">
        <v>1</v>
      </c>
      <c r="M2935" t="s">
        <v>14203</v>
      </c>
      <c r="N2935" t="str">
        <f>"006.7"</f>
        <v>006.7</v>
      </c>
      <c r="P2935" t="b">
        <v>0</v>
      </c>
      <c r="R2935" t="str">
        <f>"9781847190871"</f>
        <v>9781847190871</v>
      </c>
      <c r="S2935" t="str">
        <f>"9781847190840"</f>
        <v>9781847190840</v>
      </c>
      <c r="T2935">
        <v>248138609</v>
      </c>
    </row>
    <row r="2936" spans="1:20" x14ac:dyDescent="0.25">
      <c r="A2936">
        <v>235266</v>
      </c>
      <c r="B2936" t="s">
        <v>14204</v>
      </c>
      <c r="C2936" t="s">
        <v>14205</v>
      </c>
      <c r="D2936" t="s">
        <v>12187</v>
      </c>
      <c r="E2936" t="s">
        <v>12187</v>
      </c>
      <c r="F2936">
        <v>2008</v>
      </c>
      <c r="G2936" t="s">
        <v>8643</v>
      </c>
      <c r="H2936" t="s">
        <v>14206</v>
      </c>
      <c r="I2936" t="s">
        <v>14207</v>
      </c>
      <c r="J2936" t="s">
        <v>26</v>
      </c>
      <c r="K2936" t="s">
        <v>27</v>
      </c>
      <c r="L2936" t="b">
        <v>1</v>
      </c>
      <c r="N2936" t="str">
        <f>"004"</f>
        <v>004</v>
      </c>
      <c r="P2936" t="b">
        <v>0</v>
      </c>
      <c r="R2936" t="str">
        <f>"9788122416626"</f>
        <v>9788122416626</v>
      </c>
      <c r="S2936" t="str">
        <f>"9788122423198"</f>
        <v>9788122423198</v>
      </c>
      <c r="T2936">
        <v>299734419</v>
      </c>
    </row>
    <row r="2937" spans="1:20" x14ac:dyDescent="0.25">
      <c r="A2937">
        <v>235263</v>
      </c>
      <c r="B2937" t="s">
        <v>14208</v>
      </c>
      <c r="D2937" t="s">
        <v>12187</v>
      </c>
      <c r="E2937" t="s">
        <v>12187</v>
      </c>
      <c r="F2937">
        <v>2008</v>
      </c>
      <c r="G2937" t="s">
        <v>14209</v>
      </c>
      <c r="H2937" t="s">
        <v>14210</v>
      </c>
      <c r="I2937" t="s">
        <v>14211</v>
      </c>
      <c r="J2937" t="s">
        <v>26</v>
      </c>
      <c r="K2937" t="s">
        <v>27</v>
      </c>
      <c r="L2937" t="b">
        <v>1</v>
      </c>
      <c r="M2937" t="s">
        <v>14212</v>
      </c>
      <c r="N2937" t="str">
        <f>"627/.52"</f>
        <v>627/.52</v>
      </c>
      <c r="P2937" t="b">
        <v>0</v>
      </c>
      <c r="R2937" t="str">
        <f>"9788122416732"</f>
        <v>9788122416732</v>
      </c>
      <c r="S2937" t="str">
        <f>"9788122423181"</f>
        <v>9788122423181</v>
      </c>
      <c r="T2937">
        <v>248449701</v>
      </c>
    </row>
    <row r="2938" spans="1:20" x14ac:dyDescent="0.25">
      <c r="A2938">
        <v>235256</v>
      </c>
      <c r="B2938" t="s">
        <v>14213</v>
      </c>
      <c r="D2938" t="s">
        <v>13522</v>
      </c>
      <c r="E2938" t="s">
        <v>13523</v>
      </c>
      <c r="F2938">
        <v>2000</v>
      </c>
      <c r="G2938" t="s">
        <v>355</v>
      </c>
      <c r="H2938" t="s">
        <v>14214</v>
      </c>
      <c r="I2938" t="s">
        <v>14215</v>
      </c>
      <c r="J2938" t="s">
        <v>26</v>
      </c>
      <c r="K2938" t="s">
        <v>27</v>
      </c>
      <c r="L2938" t="b">
        <v>1</v>
      </c>
      <c r="M2938" t="s">
        <v>14216</v>
      </c>
      <c r="N2938" t="str">
        <f>"678/.23"</f>
        <v>678/.23</v>
      </c>
      <c r="P2938" t="b">
        <v>0</v>
      </c>
      <c r="R2938" t="str">
        <f>"9781859572078"</f>
        <v>9781859572078</v>
      </c>
      <c r="S2938" t="str">
        <f>"9781847351760"</f>
        <v>9781847351760</v>
      </c>
      <c r="T2938">
        <v>248001802</v>
      </c>
    </row>
    <row r="2939" spans="1:20" x14ac:dyDescent="0.25">
      <c r="A2939">
        <v>235020</v>
      </c>
      <c r="B2939" t="s">
        <v>14217</v>
      </c>
      <c r="C2939" t="s">
        <v>14218</v>
      </c>
      <c r="D2939" t="s">
        <v>14219</v>
      </c>
      <c r="E2939" t="s">
        <v>14219</v>
      </c>
      <c r="F2939">
        <v>1994</v>
      </c>
      <c r="G2939" t="s">
        <v>14220</v>
      </c>
      <c r="H2939" t="s">
        <v>14221</v>
      </c>
      <c r="I2939" t="s">
        <v>14222</v>
      </c>
      <c r="J2939" t="s">
        <v>26</v>
      </c>
      <c r="K2939" t="s">
        <v>27</v>
      </c>
      <c r="L2939" t="b">
        <v>1</v>
      </c>
      <c r="M2939" t="s">
        <v>14223</v>
      </c>
      <c r="N2939" t="str">
        <f>"615/.78028/7"</f>
        <v>615/.78028/7</v>
      </c>
      <c r="P2939" t="b">
        <v>0</v>
      </c>
      <c r="R2939" t="str">
        <f>"9789211482300"</f>
        <v>9789211482300</v>
      </c>
      <c r="S2939" t="str">
        <f>"9781435663893"</f>
        <v>9781435663893</v>
      </c>
      <c r="T2939">
        <v>367388646</v>
      </c>
    </row>
    <row r="2940" spans="1:20" x14ac:dyDescent="0.25">
      <c r="A2940">
        <v>234960</v>
      </c>
      <c r="B2940" t="s">
        <v>14224</v>
      </c>
      <c r="D2940" t="s">
        <v>13522</v>
      </c>
      <c r="E2940" t="s">
        <v>13523</v>
      </c>
      <c r="F2940">
        <v>1999</v>
      </c>
      <c r="G2940" t="s">
        <v>355</v>
      </c>
      <c r="H2940" t="s">
        <v>14225</v>
      </c>
      <c r="I2940" t="s">
        <v>14226</v>
      </c>
      <c r="J2940" t="s">
        <v>26</v>
      </c>
      <c r="K2940" t="s">
        <v>27</v>
      </c>
      <c r="L2940" t="b">
        <v>1</v>
      </c>
      <c r="M2940" t="s">
        <v>14227</v>
      </c>
      <c r="N2940" t="str">
        <f>"678.2"</f>
        <v>678.2</v>
      </c>
      <c r="P2940" t="b">
        <v>0</v>
      </c>
      <c r="R2940" t="str">
        <f>"9781859571507"</f>
        <v>9781859571507</v>
      </c>
      <c r="S2940" t="str">
        <f>"9781859573426"</f>
        <v>9781859573426</v>
      </c>
      <c r="T2940">
        <v>255955434</v>
      </c>
    </row>
    <row r="2941" spans="1:20" x14ac:dyDescent="0.25">
      <c r="A2941">
        <v>234959</v>
      </c>
      <c r="B2941" t="s">
        <v>14228</v>
      </c>
      <c r="D2941" t="s">
        <v>13522</v>
      </c>
      <c r="E2941" t="s">
        <v>13523</v>
      </c>
      <c r="F2941">
        <v>2001</v>
      </c>
      <c r="G2941" t="s">
        <v>355</v>
      </c>
      <c r="H2941" t="s">
        <v>14229</v>
      </c>
      <c r="I2941" t="s">
        <v>14230</v>
      </c>
      <c r="J2941" t="s">
        <v>26</v>
      </c>
      <c r="K2941" t="s">
        <v>27</v>
      </c>
      <c r="L2941" t="b">
        <v>1</v>
      </c>
      <c r="M2941" t="s">
        <v>14231</v>
      </c>
      <c r="N2941" t="str">
        <f>"678.2"</f>
        <v>678.2</v>
      </c>
      <c r="P2941" t="b">
        <v>0</v>
      </c>
      <c r="R2941" t="str">
        <f>"9781859572603"</f>
        <v>9781859572603</v>
      </c>
      <c r="S2941" t="str">
        <f>"9781859573525"</f>
        <v>9781859573525</v>
      </c>
      <c r="T2941">
        <v>244786383</v>
      </c>
    </row>
    <row r="2942" spans="1:20" x14ac:dyDescent="0.25">
      <c r="A2942">
        <v>234958</v>
      </c>
      <c r="B2942" t="s">
        <v>14232</v>
      </c>
      <c r="D2942" t="s">
        <v>13522</v>
      </c>
      <c r="E2942" t="s">
        <v>13523</v>
      </c>
      <c r="F2942">
        <v>1998</v>
      </c>
      <c r="G2942" t="s">
        <v>303</v>
      </c>
      <c r="H2942" t="s">
        <v>14233</v>
      </c>
      <c r="I2942" t="s">
        <v>406</v>
      </c>
      <c r="J2942" t="s">
        <v>26</v>
      </c>
      <c r="K2942" t="s">
        <v>27</v>
      </c>
      <c r="L2942" t="b">
        <v>1</v>
      </c>
      <c r="M2942" t="s">
        <v>14234</v>
      </c>
      <c r="N2942" t="str">
        <f>"668.4"</f>
        <v>668.4</v>
      </c>
      <c r="O2942" t="s">
        <v>14235</v>
      </c>
      <c r="P2942" t="b">
        <v>0</v>
      </c>
      <c r="R2942" t="str">
        <f>"9781859570920"</f>
        <v>9781859570920</v>
      </c>
      <c r="S2942" t="str">
        <f>"9781847352101"</f>
        <v>9781847352101</v>
      </c>
      <c r="T2942">
        <v>244788128</v>
      </c>
    </row>
    <row r="2943" spans="1:20" x14ac:dyDescent="0.25">
      <c r="A2943">
        <v>234956</v>
      </c>
      <c r="B2943" t="s">
        <v>14236</v>
      </c>
      <c r="C2943" t="s">
        <v>14237</v>
      </c>
      <c r="D2943" t="s">
        <v>13522</v>
      </c>
      <c r="E2943" t="s">
        <v>13523</v>
      </c>
      <c r="F2943">
        <v>2001</v>
      </c>
      <c r="G2943" t="s">
        <v>9553</v>
      </c>
      <c r="H2943" t="s">
        <v>14238</v>
      </c>
      <c r="I2943" t="s">
        <v>14239</v>
      </c>
      <c r="J2943" t="s">
        <v>26</v>
      </c>
      <c r="K2943" t="s">
        <v>27</v>
      </c>
      <c r="L2943" t="b">
        <v>1</v>
      </c>
      <c r="M2943" t="s">
        <v>14240</v>
      </c>
      <c r="N2943" t="str">
        <f>"620.1/940287"</f>
        <v>620.1/940287</v>
      </c>
      <c r="P2943" t="b">
        <v>0</v>
      </c>
      <c r="R2943" t="str">
        <f>"9781859572641"</f>
        <v>9781859572641</v>
      </c>
      <c r="S2943" t="str">
        <f>"9781859573495"</f>
        <v>9781859573495</v>
      </c>
      <c r="T2943">
        <v>247073849</v>
      </c>
    </row>
    <row r="2944" spans="1:20" x14ac:dyDescent="0.25">
      <c r="A2944">
        <v>234955</v>
      </c>
      <c r="B2944" t="s">
        <v>14241</v>
      </c>
      <c r="C2944" t="s">
        <v>14242</v>
      </c>
      <c r="D2944" t="s">
        <v>13522</v>
      </c>
      <c r="E2944" t="s">
        <v>13523</v>
      </c>
      <c r="F2944">
        <v>2001</v>
      </c>
      <c r="G2944" t="s">
        <v>14243</v>
      </c>
      <c r="H2944" t="s">
        <v>14244</v>
      </c>
      <c r="I2944" t="s">
        <v>14245</v>
      </c>
      <c r="J2944" t="s">
        <v>26</v>
      </c>
      <c r="K2944" t="s">
        <v>27</v>
      </c>
      <c r="L2944" t="b">
        <v>1</v>
      </c>
      <c r="M2944" t="s">
        <v>14246</v>
      </c>
      <c r="N2944" t="str">
        <f>"621.381/33"</f>
        <v>621.381/33</v>
      </c>
      <c r="O2944" t="s">
        <v>14247</v>
      </c>
      <c r="P2944" t="b">
        <v>0</v>
      </c>
      <c r="R2944" t="str">
        <f>"9781859572818"</f>
        <v>9781859572818</v>
      </c>
      <c r="S2944" t="str">
        <f>"9781847351982"</f>
        <v>9781847351982</v>
      </c>
      <c r="T2944">
        <v>247069664</v>
      </c>
    </row>
    <row r="2945" spans="1:20" x14ac:dyDescent="0.25">
      <c r="A2945">
        <v>234948</v>
      </c>
      <c r="B2945" t="s">
        <v>14248</v>
      </c>
      <c r="D2945" t="s">
        <v>13522</v>
      </c>
      <c r="E2945" t="s">
        <v>13523</v>
      </c>
      <c r="F2945">
        <v>2001</v>
      </c>
      <c r="G2945" t="s">
        <v>303</v>
      </c>
      <c r="H2945" t="s">
        <v>14249</v>
      </c>
      <c r="I2945" t="s">
        <v>14250</v>
      </c>
      <c r="J2945" t="s">
        <v>26</v>
      </c>
      <c r="K2945" t="s">
        <v>27</v>
      </c>
      <c r="L2945" t="b">
        <v>1</v>
      </c>
      <c r="M2945" t="s">
        <v>14251</v>
      </c>
      <c r="N2945" t="str">
        <f>"668.4/12"</f>
        <v>668.4/12</v>
      </c>
      <c r="O2945" t="s">
        <v>14252</v>
      </c>
      <c r="P2945" t="b">
        <v>0</v>
      </c>
      <c r="R2945" t="str">
        <f>"9781859572832"</f>
        <v>9781859572832</v>
      </c>
      <c r="S2945" t="str">
        <f>"9781859574096"</f>
        <v>9781859574096</v>
      </c>
      <c r="T2945">
        <v>247047478</v>
      </c>
    </row>
    <row r="2946" spans="1:20" x14ac:dyDescent="0.25">
      <c r="A2946">
        <v>234947</v>
      </c>
      <c r="B2946" t="s">
        <v>14253</v>
      </c>
      <c r="D2946" t="s">
        <v>13522</v>
      </c>
      <c r="E2946" t="s">
        <v>13523</v>
      </c>
      <c r="F2946">
        <v>2001</v>
      </c>
      <c r="G2946" t="s">
        <v>9050</v>
      </c>
      <c r="H2946" t="s">
        <v>14254</v>
      </c>
      <c r="I2946" t="s">
        <v>14255</v>
      </c>
      <c r="J2946" t="s">
        <v>26</v>
      </c>
      <c r="K2946" t="s">
        <v>27</v>
      </c>
      <c r="L2946" t="b">
        <v>1</v>
      </c>
      <c r="M2946" t="s">
        <v>14256</v>
      </c>
      <c r="N2946" t="str">
        <f>"547/.84"</f>
        <v>547/.84</v>
      </c>
      <c r="O2946" t="s">
        <v>14252</v>
      </c>
      <c r="P2946" t="b">
        <v>0</v>
      </c>
      <c r="R2946" t="str">
        <f>"9781859572849"</f>
        <v>9781859572849</v>
      </c>
      <c r="S2946" t="str">
        <f>"9781859574102"</f>
        <v>9781859574102</v>
      </c>
      <c r="T2946">
        <v>247044554</v>
      </c>
    </row>
    <row r="2947" spans="1:20" x14ac:dyDescent="0.25">
      <c r="A2947">
        <v>234946</v>
      </c>
      <c r="B2947" t="s">
        <v>14257</v>
      </c>
      <c r="D2947" t="s">
        <v>13522</v>
      </c>
      <c r="E2947" t="s">
        <v>13523</v>
      </c>
      <c r="F2947">
        <v>2001</v>
      </c>
      <c r="G2947" t="s">
        <v>303</v>
      </c>
      <c r="H2947" t="s">
        <v>14258</v>
      </c>
      <c r="I2947" t="s">
        <v>14259</v>
      </c>
      <c r="J2947" t="s">
        <v>26</v>
      </c>
      <c r="K2947" t="s">
        <v>27</v>
      </c>
      <c r="L2947" t="b">
        <v>1</v>
      </c>
      <c r="M2947" t="s">
        <v>14260</v>
      </c>
      <c r="N2947" t="str">
        <f>"668.4239"</f>
        <v>668.4239</v>
      </c>
      <c r="P2947" t="b">
        <v>0</v>
      </c>
      <c r="R2947" t="str">
        <f>"9781859572757"</f>
        <v>9781859572757</v>
      </c>
      <c r="S2947" t="str">
        <f>"9781847351753"</f>
        <v>9781847351753</v>
      </c>
      <c r="T2947">
        <v>247120389</v>
      </c>
    </row>
    <row r="2948" spans="1:20" x14ac:dyDescent="0.25">
      <c r="A2948">
        <v>234944</v>
      </c>
      <c r="B2948" t="s">
        <v>14261</v>
      </c>
      <c r="C2948" t="s">
        <v>14262</v>
      </c>
      <c r="D2948" t="s">
        <v>13522</v>
      </c>
      <c r="E2948" t="s">
        <v>13523</v>
      </c>
      <c r="F2948">
        <v>2001</v>
      </c>
      <c r="G2948" t="s">
        <v>303</v>
      </c>
      <c r="H2948" t="s">
        <v>14263</v>
      </c>
      <c r="I2948" t="s">
        <v>14264</v>
      </c>
      <c r="J2948" t="s">
        <v>26</v>
      </c>
      <c r="K2948" t="s">
        <v>27</v>
      </c>
      <c r="L2948" t="b">
        <v>1</v>
      </c>
      <c r="M2948" t="s">
        <v>14265</v>
      </c>
      <c r="N2948" t="str">
        <f>"668.493"</f>
        <v>668.493</v>
      </c>
      <c r="O2948" t="s">
        <v>14247</v>
      </c>
      <c r="P2948" t="b">
        <v>0</v>
      </c>
      <c r="R2948" t="str">
        <f>"9781859572405"</f>
        <v>9781859572405</v>
      </c>
      <c r="S2948" t="str">
        <f>"9781847351616"</f>
        <v>9781847351616</v>
      </c>
      <c r="T2948">
        <v>247112937</v>
      </c>
    </row>
    <row r="2949" spans="1:20" x14ac:dyDescent="0.25">
      <c r="A2949">
        <v>234943</v>
      </c>
      <c r="B2949" t="s">
        <v>14266</v>
      </c>
      <c r="C2949" t="s">
        <v>14242</v>
      </c>
      <c r="D2949" t="s">
        <v>13522</v>
      </c>
      <c r="E2949" t="s">
        <v>13523</v>
      </c>
      <c r="F2949">
        <v>2001</v>
      </c>
      <c r="G2949" t="s">
        <v>355</v>
      </c>
      <c r="H2949" t="s">
        <v>14267</v>
      </c>
      <c r="I2949" t="s">
        <v>14268</v>
      </c>
      <c r="J2949" t="s">
        <v>26</v>
      </c>
      <c r="K2949" t="s">
        <v>27</v>
      </c>
      <c r="L2949" t="b">
        <v>1</v>
      </c>
      <c r="M2949" t="s">
        <v>14269</v>
      </c>
      <c r="N2949" t="str">
        <f>"678.32"</f>
        <v>678.32</v>
      </c>
      <c r="O2949" t="s">
        <v>14247</v>
      </c>
      <c r="P2949" t="b">
        <v>0</v>
      </c>
      <c r="R2949" t="str">
        <f>"9781859572412"</f>
        <v>9781859572412</v>
      </c>
      <c r="S2949" t="str">
        <f>"9781847351906"</f>
        <v>9781847351906</v>
      </c>
      <c r="T2949">
        <v>261161636</v>
      </c>
    </row>
    <row r="2950" spans="1:20" x14ac:dyDescent="0.25">
      <c r="A2950">
        <v>234942</v>
      </c>
      <c r="B2950" t="s">
        <v>14270</v>
      </c>
      <c r="D2950" t="s">
        <v>13522</v>
      </c>
      <c r="E2950" t="s">
        <v>13523</v>
      </c>
      <c r="F2950">
        <v>2001</v>
      </c>
      <c r="G2950" t="s">
        <v>10129</v>
      </c>
      <c r="H2950" t="s">
        <v>14271</v>
      </c>
      <c r="I2950" t="s">
        <v>14272</v>
      </c>
      <c r="J2950" t="s">
        <v>26</v>
      </c>
      <c r="K2950" t="s">
        <v>27</v>
      </c>
      <c r="L2950" t="b">
        <v>1</v>
      </c>
      <c r="M2950" t="s">
        <v>14273</v>
      </c>
      <c r="N2950" t="str">
        <f>"660/.298"</f>
        <v>660/.298</v>
      </c>
      <c r="O2950" t="s">
        <v>14252</v>
      </c>
      <c r="P2950" t="b">
        <v>0</v>
      </c>
      <c r="R2950" t="str">
        <f>"9781859572887"</f>
        <v>9781859572887</v>
      </c>
      <c r="S2950" t="str">
        <f>"9781859574126"</f>
        <v>9781859574126</v>
      </c>
      <c r="T2950">
        <v>247018667</v>
      </c>
    </row>
    <row r="2951" spans="1:20" x14ac:dyDescent="0.25">
      <c r="A2951">
        <v>234938</v>
      </c>
      <c r="B2951" t="s">
        <v>14274</v>
      </c>
      <c r="D2951" t="s">
        <v>13522</v>
      </c>
      <c r="E2951" t="s">
        <v>13523</v>
      </c>
      <c r="F2951">
        <v>1999</v>
      </c>
      <c r="G2951" t="s">
        <v>9553</v>
      </c>
      <c r="H2951" t="s">
        <v>14275</v>
      </c>
      <c r="I2951" t="s">
        <v>14276</v>
      </c>
      <c r="J2951" t="s">
        <v>26</v>
      </c>
      <c r="K2951" t="s">
        <v>27</v>
      </c>
      <c r="L2951" t="b">
        <v>1</v>
      </c>
      <c r="M2951" t="s">
        <v>14277</v>
      </c>
      <c r="N2951" t="str">
        <f>"620.192"</f>
        <v>620.192</v>
      </c>
      <c r="P2951" t="b">
        <v>0</v>
      </c>
      <c r="R2951" t="str">
        <f>"9781859571668"</f>
        <v>9781859571668</v>
      </c>
      <c r="S2951" t="str">
        <f>"9781859573433"</f>
        <v>9781859573433</v>
      </c>
      <c r="T2951">
        <v>247008551</v>
      </c>
    </row>
    <row r="2952" spans="1:20" x14ac:dyDescent="0.25">
      <c r="A2952">
        <v>234922</v>
      </c>
      <c r="B2952" t="s">
        <v>14278</v>
      </c>
      <c r="D2952" t="s">
        <v>13522</v>
      </c>
      <c r="E2952" t="s">
        <v>13523</v>
      </c>
      <c r="F2952">
        <v>2001</v>
      </c>
      <c r="G2952" t="s">
        <v>303</v>
      </c>
      <c r="H2952" t="s">
        <v>14279</v>
      </c>
      <c r="I2952" t="s">
        <v>14280</v>
      </c>
      <c r="J2952" t="s">
        <v>26</v>
      </c>
      <c r="K2952" t="s">
        <v>27</v>
      </c>
      <c r="L2952" t="b">
        <v>1</v>
      </c>
      <c r="M2952" t="s">
        <v>14281</v>
      </c>
      <c r="N2952" t="str">
        <f>"668.4/227"</f>
        <v>668.4/227</v>
      </c>
      <c r="O2952" t="s">
        <v>14252</v>
      </c>
      <c r="P2952" t="b">
        <v>0</v>
      </c>
      <c r="R2952" t="str">
        <f>"9781859572979"</f>
        <v>9781859572979</v>
      </c>
      <c r="S2952" t="str">
        <f>"9781859574133"</f>
        <v>9781859574133</v>
      </c>
      <c r="T2952">
        <v>246729473</v>
      </c>
    </row>
    <row r="2953" spans="1:20" x14ac:dyDescent="0.25">
      <c r="A2953">
        <v>234920</v>
      </c>
      <c r="B2953" t="s">
        <v>14235</v>
      </c>
      <c r="D2953" t="s">
        <v>13522</v>
      </c>
      <c r="E2953" t="s">
        <v>13523</v>
      </c>
      <c r="F2953">
        <v>1995</v>
      </c>
      <c r="G2953" t="s">
        <v>9553</v>
      </c>
      <c r="H2953" t="s">
        <v>14282</v>
      </c>
      <c r="I2953" t="s">
        <v>14283</v>
      </c>
      <c r="J2953" t="s">
        <v>26</v>
      </c>
      <c r="K2953" t="s">
        <v>27</v>
      </c>
      <c r="L2953" t="b">
        <v>1</v>
      </c>
      <c r="M2953" t="s">
        <v>14284</v>
      </c>
      <c r="N2953" t="str">
        <f>"620.1923"</f>
        <v>620.1923</v>
      </c>
      <c r="O2953" t="s">
        <v>14235</v>
      </c>
      <c r="P2953" t="b">
        <v>0</v>
      </c>
      <c r="R2953" t="str">
        <f>"9781859570586"</f>
        <v>9781859570586</v>
      </c>
      <c r="S2953" t="str">
        <f>"9781847351920"</f>
        <v>9781847351920</v>
      </c>
      <c r="T2953">
        <v>246719846</v>
      </c>
    </row>
    <row r="2954" spans="1:20" x14ac:dyDescent="0.25">
      <c r="A2954">
        <v>234915</v>
      </c>
      <c r="B2954" t="s">
        <v>14285</v>
      </c>
      <c r="D2954" t="s">
        <v>13522</v>
      </c>
      <c r="E2954" t="s">
        <v>13523</v>
      </c>
      <c r="F2954">
        <v>2001</v>
      </c>
      <c r="G2954" t="s">
        <v>303</v>
      </c>
      <c r="H2954" t="s">
        <v>14286</v>
      </c>
      <c r="I2954" t="s">
        <v>390</v>
      </c>
      <c r="J2954" t="s">
        <v>26</v>
      </c>
      <c r="K2954" t="s">
        <v>27</v>
      </c>
      <c r="L2954" t="b">
        <v>1</v>
      </c>
      <c r="M2954" t="s">
        <v>14287</v>
      </c>
      <c r="N2954" t="str">
        <f>"668.412"</f>
        <v>668.412</v>
      </c>
      <c r="P2954" t="b">
        <v>0</v>
      </c>
      <c r="R2954" t="str">
        <f>"9781859572085"</f>
        <v>9781859572085</v>
      </c>
      <c r="S2954" t="str">
        <f>"9781847351630"</f>
        <v>9781847351630</v>
      </c>
      <c r="T2954">
        <v>247078991</v>
      </c>
    </row>
    <row r="2955" spans="1:20" x14ac:dyDescent="0.25">
      <c r="A2955">
        <v>234914</v>
      </c>
      <c r="B2955" t="s">
        <v>14288</v>
      </c>
      <c r="C2955" t="s">
        <v>14289</v>
      </c>
      <c r="D2955" t="s">
        <v>13522</v>
      </c>
      <c r="E2955" t="s">
        <v>13523</v>
      </c>
      <c r="F2955">
        <v>2001</v>
      </c>
      <c r="G2955" t="s">
        <v>355</v>
      </c>
      <c r="H2955" t="s">
        <v>14290</v>
      </c>
      <c r="I2955" t="s">
        <v>14291</v>
      </c>
      <c r="J2955" t="s">
        <v>26</v>
      </c>
      <c r="K2955" t="s">
        <v>27</v>
      </c>
      <c r="L2955" t="b">
        <v>1</v>
      </c>
      <c r="M2955" t="s">
        <v>14292</v>
      </c>
      <c r="N2955" t="str">
        <f>"678/.3"</f>
        <v>678/.3</v>
      </c>
      <c r="O2955" t="s">
        <v>14252</v>
      </c>
      <c r="P2955" t="b">
        <v>0</v>
      </c>
      <c r="R2955" t="str">
        <f>"9781859573051"</f>
        <v>9781859573051</v>
      </c>
      <c r="S2955" t="str">
        <f>"9781859574157"</f>
        <v>9781859574157</v>
      </c>
      <c r="T2955">
        <v>246705338</v>
      </c>
    </row>
    <row r="2956" spans="1:20" x14ac:dyDescent="0.25">
      <c r="A2956">
        <v>234907</v>
      </c>
      <c r="B2956" t="s">
        <v>13521</v>
      </c>
      <c r="D2956" t="s">
        <v>13522</v>
      </c>
      <c r="E2956" t="s">
        <v>13523</v>
      </c>
      <c r="F2956">
        <v>2001</v>
      </c>
      <c r="G2956" t="s">
        <v>355</v>
      </c>
      <c r="H2956" t="s">
        <v>14293</v>
      </c>
      <c r="I2956" t="s">
        <v>14294</v>
      </c>
      <c r="J2956" t="s">
        <v>26</v>
      </c>
      <c r="K2956" t="s">
        <v>27</v>
      </c>
      <c r="L2956" t="b">
        <v>1</v>
      </c>
      <c r="M2956" t="s">
        <v>14295</v>
      </c>
      <c r="N2956" t="str">
        <f>"678/.2"</f>
        <v>678/.2</v>
      </c>
      <c r="P2956" t="b">
        <v>0</v>
      </c>
      <c r="R2956" t="str">
        <f>"9781859572627"</f>
        <v>9781859572627</v>
      </c>
      <c r="S2956" t="str">
        <f>"9781847351937"</f>
        <v>9781847351937</v>
      </c>
      <c r="T2956">
        <v>246659104</v>
      </c>
    </row>
    <row r="2957" spans="1:20" x14ac:dyDescent="0.25">
      <c r="A2957">
        <v>234905</v>
      </c>
      <c r="B2957" t="s">
        <v>14296</v>
      </c>
      <c r="D2957" t="s">
        <v>13522</v>
      </c>
      <c r="E2957" t="s">
        <v>13523</v>
      </c>
      <c r="F2957">
        <v>2001</v>
      </c>
      <c r="G2957" t="s">
        <v>355</v>
      </c>
      <c r="H2957" t="s">
        <v>14297</v>
      </c>
      <c r="I2957" t="s">
        <v>14298</v>
      </c>
      <c r="J2957" t="s">
        <v>26</v>
      </c>
      <c r="K2957" t="s">
        <v>27</v>
      </c>
      <c r="L2957" t="b">
        <v>1</v>
      </c>
      <c r="M2957" t="s">
        <v>14299</v>
      </c>
      <c r="N2957" t="str">
        <f>"678.2"</f>
        <v>678.2</v>
      </c>
      <c r="P2957" t="b">
        <v>0</v>
      </c>
      <c r="R2957" t="str">
        <f>"9781859573945"</f>
        <v>9781859573945</v>
      </c>
      <c r="S2957" t="str">
        <f>"9781847351739"</f>
        <v>9781847351739</v>
      </c>
      <c r="T2957">
        <v>246633938</v>
      </c>
    </row>
    <row r="2958" spans="1:20" x14ac:dyDescent="0.25">
      <c r="A2958">
        <v>234900</v>
      </c>
      <c r="B2958" t="s">
        <v>14300</v>
      </c>
      <c r="D2958" t="s">
        <v>13522</v>
      </c>
      <c r="E2958" t="s">
        <v>13523</v>
      </c>
      <c r="F2958">
        <v>2001</v>
      </c>
      <c r="G2958" t="s">
        <v>355</v>
      </c>
      <c r="H2958" t="s">
        <v>14301</v>
      </c>
      <c r="I2958" t="s">
        <v>14302</v>
      </c>
      <c r="J2958" t="s">
        <v>26</v>
      </c>
      <c r="K2958" t="s">
        <v>27</v>
      </c>
      <c r="L2958" t="b">
        <v>1</v>
      </c>
      <c r="M2958" t="s">
        <v>14303</v>
      </c>
      <c r="N2958" t="str">
        <f>"678.2"</f>
        <v>678.2</v>
      </c>
      <c r="O2958" t="s">
        <v>14252</v>
      </c>
      <c r="P2958" t="b">
        <v>0</v>
      </c>
      <c r="R2958" t="str">
        <f>"9781859573013"</f>
        <v>9781859573013</v>
      </c>
      <c r="S2958" t="str">
        <f>"9781859574140"</f>
        <v>9781859574140</v>
      </c>
      <c r="T2958">
        <v>246634222</v>
      </c>
    </row>
    <row r="2959" spans="1:20" x14ac:dyDescent="0.25">
      <c r="A2959">
        <v>234891</v>
      </c>
      <c r="B2959" t="s">
        <v>14304</v>
      </c>
      <c r="D2959" t="s">
        <v>13522</v>
      </c>
      <c r="E2959" t="s">
        <v>13523</v>
      </c>
      <c r="F2959">
        <v>2001</v>
      </c>
      <c r="G2959" t="s">
        <v>9553</v>
      </c>
      <c r="H2959" t="s">
        <v>14305</v>
      </c>
      <c r="I2959" t="s">
        <v>14306</v>
      </c>
      <c r="J2959" t="s">
        <v>26</v>
      </c>
      <c r="K2959" t="s">
        <v>27</v>
      </c>
      <c r="L2959" t="b">
        <v>1</v>
      </c>
      <c r="M2959" t="s">
        <v>14307</v>
      </c>
      <c r="N2959" t="str">
        <f>"620.118"</f>
        <v>620.118</v>
      </c>
      <c r="P2959" t="b">
        <v>0</v>
      </c>
      <c r="R2959" t="str">
        <f>"9781859572634"</f>
        <v>9781859572634</v>
      </c>
      <c r="S2959" t="str">
        <f>"9781847350114"</f>
        <v>9781847350114</v>
      </c>
      <c r="T2959">
        <v>246624094</v>
      </c>
    </row>
    <row r="2960" spans="1:20" x14ac:dyDescent="0.25">
      <c r="A2960">
        <v>234885</v>
      </c>
      <c r="B2960" t="s">
        <v>14308</v>
      </c>
      <c r="D2960" t="s">
        <v>13522</v>
      </c>
      <c r="E2960" t="s">
        <v>13523</v>
      </c>
      <c r="F2960">
        <v>2001</v>
      </c>
      <c r="H2960" t="s">
        <v>14309</v>
      </c>
      <c r="I2960" t="s">
        <v>14310</v>
      </c>
      <c r="J2960" t="s">
        <v>26</v>
      </c>
      <c r="K2960" t="s">
        <v>27</v>
      </c>
      <c r="L2960" t="b">
        <v>1</v>
      </c>
      <c r="M2960" t="s">
        <v>14311</v>
      </c>
      <c r="N2960" t="str">
        <f>"677"</f>
        <v>677</v>
      </c>
      <c r="P2960" t="b">
        <v>0</v>
      </c>
      <c r="R2960" t="str">
        <f>"9781859572771"</f>
        <v>9781859572771</v>
      </c>
      <c r="S2960" t="str">
        <f>"9781847351715"</f>
        <v>9781847351715</v>
      </c>
      <c r="T2960">
        <v>246604338</v>
      </c>
    </row>
    <row r="2961" spans="1:20" x14ac:dyDescent="0.25">
      <c r="A2961">
        <v>234849</v>
      </c>
      <c r="B2961" t="s">
        <v>14312</v>
      </c>
      <c r="C2961" t="s">
        <v>14313</v>
      </c>
      <c r="D2961" t="s">
        <v>13522</v>
      </c>
      <c r="E2961" t="s">
        <v>13523</v>
      </c>
      <c r="F2961">
        <v>2000</v>
      </c>
      <c r="G2961" t="s">
        <v>9553</v>
      </c>
      <c r="H2961" t="s">
        <v>14314</v>
      </c>
      <c r="I2961" t="s">
        <v>14315</v>
      </c>
      <c r="J2961" t="s">
        <v>26</v>
      </c>
      <c r="K2961" t="s">
        <v>27</v>
      </c>
      <c r="L2961" t="b">
        <v>1</v>
      </c>
      <c r="M2961" t="s">
        <v>14316</v>
      </c>
      <c r="N2961" t="str">
        <f>"620.1/942"</f>
        <v>620.1/942</v>
      </c>
      <c r="P2961" t="b">
        <v>0</v>
      </c>
      <c r="R2961" t="str">
        <f>"9781859572092"</f>
        <v>9781859572092</v>
      </c>
      <c r="S2961" t="str">
        <f>"9781859573501"</f>
        <v>9781859573501</v>
      </c>
      <c r="T2961">
        <v>401986268</v>
      </c>
    </row>
    <row r="2962" spans="1:20" x14ac:dyDescent="0.25">
      <c r="A2962">
        <v>234848</v>
      </c>
      <c r="B2962" t="s">
        <v>14236</v>
      </c>
      <c r="C2962" t="s">
        <v>14317</v>
      </c>
      <c r="D2962" t="s">
        <v>13522</v>
      </c>
      <c r="E2962" t="s">
        <v>13523</v>
      </c>
      <c r="F2962">
        <v>2001</v>
      </c>
      <c r="G2962" t="s">
        <v>355</v>
      </c>
      <c r="H2962" t="s">
        <v>14318</v>
      </c>
      <c r="I2962" t="s">
        <v>14319</v>
      </c>
      <c r="J2962" t="s">
        <v>26</v>
      </c>
      <c r="K2962" t="s">
        <v>27</v>
      </c>
      <c r="L2962" t="b">
        <v>1</v>
      </c>
      <c r="M2962" t="s">
        <v>14320</v>
      </c>
      <c r="N2962" t="str">
        <f>"678/.4"</f>
        <v>678/.4</v>
      </c>
      <c r="P2962" t="b">
        <v>0</v>
      </c>
      <c r="R2962" t="str">
        <f>"9781859572740"</f>
        <v>9781859572740</v>
      </c>
      <c r="S2962" t="str">
        <f>"9781859573488"</f>
        <v>9781859573488</v>
      </c>
      <c r="T2962">
        <v>314391391</v>
      </c>
    </row>
    <row r="2963" spans="1:20" x14ac:dyDescent="0.25">
      <c r="A2963">
        <v>234846</v>
      </c>
      <c r="B2963" t="s">
        <v>14321</v>
      </c>
      <c r="D2963" t="s">
        <v>13522</v>
      </c>
      <c r="E2963" t="s">
        <v>13523</v>
      </c>
      <c r="F2963">
        <v>2001</v>
      </c>
      <c r="G2963" t="s">
        <v>303</v>
      </c>
      <c r="H2963" t="s">
        <v>14322</v>
      </c>
      <c r="I2963" t="s">
        <v>14323</v>
      </c>
      <c r="J2963" t="s">
        <v>26</v>
      </c>
      <c r="K2963" t="s">
        <v>27</v>
      </c>
      <c r="L2963" t="b">
        <v>1</v>
      </c>
      <c r="M2963" t="s">
        <v>14324</v>
      </c>
      <c r="N2963" t="str">
        <f>"668.4236"</f>
        <v>668.4236</v>
      </c>
      <c r="P2963" t="b">
        <v>0</v>
      </c>
      <c r="R2963" t="str">
        <f>"9781859572580"</f>
        <v>9781859572580</v>
      </c>
      <c r="S2963" t="str">
        <f>"9781847351968"</f>
        <v>9781847351968</v>
      </c>
      <c r="T2963">
        <v>244828368</v>
      </c>
    </row>
    <row r="2964" spans="1:20" x14ac:dyDescent="0.25">
      <c r="A2964">
        <v>233627</v>
      </c>
      <c r="B2964" t="s">
        <v>14325</v>
      </c>
      <c r="C2964" t="s">
        <v>14326</v>
      </c>
      <c r="D2964" t="s">
        <v>10883</v>
      </c>
      <c r="E2964" t="s">
        <v>10884</v>
      </c>
      <c r="F2964">
        <v>2008</v>
      </c>
      <c r="G2964" t="s">
        <v>14327</v>
      </c>
      <c r="H2964" t="s">
        <v>14328</v>
      </c>
      <c r="I2964" t="s">
        <v>14329</v>
      </c>
      <c r="J2964" t="s">
        <v>26</v>
      </c>
      <c r="K2964" t="s">
        <v>27</v>
      </c>
      <c r="L2964" t="b">
        <v>1</v>
      </c>
      <c r="M2964" t="s">
        <v>14330</v>
      </c>
      <c r="N2964" t="str">
        <f>"658.4/038"</f>
        <v>658.4/038</v>
      </c>
      <c r="P2964" t="b">
        <v>0</v>
      </c>
      <c r="R2964" t="str">
        <f>"9780978775308"</f>
        <v>9780978775308</v>
      </c>
      <c r="S2964" t="str">
        <f>"9781605570129"</f>
        <v>9781605570129</v>
      </c>
      <c r="T2964">
        <v>401310043</v>
      </c>
    </row>
    <row r="2965" spans="1:20" x14ac:dyDescent="0.25">
      <c r="A2965">
        <v>233179</v>
      </c>
      <c r="B2965" t="s">
        <v>14331</v>
      </c>
      <c r="D2965" t="s">
        <v>10161</v>
      </c>
      <c r="E2965" t="s">
        <v>10161</v>
      </c>
      <c r="F2965">
        <v>2008</v>
      </c>
      <c r="G2965" t="s">
        <v>14332</v>
      </c>
      <c r="H2965" t="s">
        <v>14333</v>
      </c>
      <c r="I2965" t="s">
        <v>14334</v>
      </c>
      <c r="J2965" t="s">
        <v>503</v>
      </c>
      <c r="K2965" t="s">
        <v>27</v>
      </c>
      <c r="L2965" t="b">
        <v>1</v>
      </c>
      <c r="M2965" t="s">
        <v>14335</v>
      </c>
      <c r="N2965" t="str">
        <f>"362.1/0425709678"</f>
        <v>362.1/0425709678</v>
      </c>
      <c r="O2965" t="s">
        <v>14336</v>
      </c>
      <c r="P2965" t="b">
        <v>0</v>
      </c>
      <c r="R2965" t="str">
        <f>"9781552504109"</f>
        <v>9781552504109</v>
      </c>
      <c r="S2965" t="str">
        <f>"9781552504123"</f>
        <v>9781552504123</v>
      </c>
      <c r="T2965">
        <v>244443370</v>
      </c>
    </row>
    <row r="2966" spans="1:20" x14ac:dyDescent="0.25">
      <c r="A2966">
        <v>233178</v>
      </c>
      <c r="B2966" t="s">
        <v>14337</v>
      </c>
      <c r="D2966" t="s">
        <v>10161</v>
      </c>
      <c r="E2966" t="s">
        <v>10161</v>
      </c>
      <c r="F2966">
        <v>2008</v>
      </c>
      <c r="G2966" t="s">
        <v>14332</v>
      </c>
      <c r="H2966" t="s">
        <v>14333</v>
      </c>
      <c r="I2966" t="s">
        <v>14334</v>
      </c>
      <c r="J2966" t="s">
        <v>26</v>
      </c>
      <c r="K2966" t="s">
        <v>27</v>
      </c>
      <c r="L2966" t="b">
        <v>1</v>
      </c>
      <c r="M2966" t="s">
        <v>14338</v>
      </c>
      <c r="N2966" t="str">
        <f>"362.1/0425709678"</f>
        <v>362.1/0425709678</v>
      </c>
      <c r="O2966" t="s">
        <v>14339</v>
      </c>
      <c r="P2966" t="b">
        <v>0</v>
      </c>
      <c r="R2966" t="str">
        <f>"9781552504093"</f>
        <v>9781552504093</v>
      </c>
      <c r="S2966" t="str">
        <f>"9781552504116"</f>
        <v>9781552504116</v>
      </c>
      <c r="T2966">
        <v>244300751</v>
      </c>
    </row>
    <row r="2967" spans="1:20" x14ac:dyDescent="0.25">
      <c r="A2967">
        <v>230877</v>
      </c>
      <c r="B2967" t="s">
        <v>14340</v>
      </c>
      <c r="C2967" t="s">
        <v>14341</v>
      </c>
      <c r="D2967" t="s">
        <v>14342</v>
      </c>
      <c r="E2967" t="s">
        <v>14343</v>
      </c>
      <c r="F2967">
        <v>2004</v>
      </c>
      <c r="G2967" t="s">
        <v>303</v>
      </c>
      <c r="H2967" t="s">
        <v>14344</v>
      </c>
      <c r="I2967" t="s">
        <v>14345</v>
      </c>
      <c r="J2967" t="s">
        <v>26</v>
      </c>
      <c r="K2967" t="s">
        <v>27</v>
      </c>
      <c r="L2967" t="b">
        <v>1</v>
      </c>
      <c r="M2967" t="s">
        <v>14346</v>
      </c>
      <c r="N2967" t="str">
        <f>"363.179"</f>
        <v>363.179</v>
      </c>
      <c r="O2967" t="s">
        <v>14347</v>
      </c>
      <c r="P2967" t="b">
        <v>0</v>
      </c>
      <c r="R2967" t="str">
        <f>"9781903996652"</f>
        <v>9781903996652</v>
      </c>
      <c r="S2967" t="str">
        <f>"9780080529042"</f>
        <v>9780080529042</v>
      </c>
      <c r="T2967">
        <v>243702277</v>
      </c>
    </row>
    <row r="2968" spans="1:20" x14ac:dyDescent="0.25">
      <c r="A2968">
        <v>230006</v>
      </c>
      <c r="B2968" t="s">
        <v>14348</v>
      </c>
      <c r="C2968" t="s">
        <v>14349</v>
      </c>
      <c r="D2968" t="s">
        <v>7324</v>
      </c>
      <c r="E2968" t="s">
        <v>7324</v>
      </c>
      <c r="F2968">
        <v>2008</v>
      </c>
      <c r="G2968" t="s">
        <v>4239</v>
      </c>
      <c r="H2968" t="s">
        <v>14350</v>
      </c>
      <c r="I2968" t="s">
        <v>14351</v>
      </c>
      <c r="J2968" t="s">
        <v>26</v>
      </c>
      <c r="K2968" t="s">
        <v>27</v>
      </c>
      <c r="L2968" t="b">
        <v>1</v>
      </c>
      <c r="M2968" t="s">
        <v>14352</v>
      </c>
      <c r="N2968" t="str">
        <f>"305.309794/6109034"</f>
        <v>305.309794/6109034</v>
      </c>
      <c r="P2968" t="b">
        <v>0</v>
      </c>
      <c r="R2968" t="str">
        <f>"9780520244924"</f>
        <v>9780520244924</v>
      </c>
      <c r="S2968" t="str">
        <f>"9780520931954"</f>
        <v>9780520931954</v>
      </c>
      <c r="T2968">
        <v>235339619</v>
      </c>
    </row>
    <row r="2969" spans="1:20" x14ac:dyDescent="0.25">
      <c r="A2969">
        <v>227317</v>
      </c>
      <c r="B2969" t="s">
        <v>14353</v>
      </c>
      <c r="C2969" t="s">
        <v>316</v>
      </c>
      <c r="D2969" t="s">
        <v>131</v>
      </c>
      <c r="E2969" t="s">
        <v>552</v>
      </c>
      <c r="F2969">
        <v>2008</v>
      </c>
      <c r="G2969" t="s">
        <v>14354</v>
      </c>
      <c r="H2969" t="s">
        <v>14355</v>
      </c>
      <c r="I2969" t="s">
        <v>14356</v>
      </c>
      <c r="J2969" t="s">
        <v>26</v>
      </c>
      <c r="K2969" t="s">
        <v>86</v>
      </c>
      <c r="L2969" t="b">
        <v>1</v>
      </c>
      <c r="M2969" t="s">
        <v>14357</v>
      </c>
      <c r="N2969" t="str">
        <f>"340.59"</f>
        <v>340.59</v>
      </c>
      <c r="O2969" t="s">
        <v>4722</v>
      </c>
      <c r="P2969" t="b">
        <v>0</v>
      </c>
      <c r="Q2969" t="b">
        <v>0</v>
      </c>
      <c r="R2969" t="str">
        <f>"9781851685653"</f>
        <v>9781851685653</v>
      </c>
      <c r="S2969" t="str">
        <f>"9781435645707"</f>
        <v>9781435645707</v>
      </c>
      <c r="T2969">
        <v>231392049</v>
      </c>
    </row>
    <row r="2970" spans="1:20" x14ac:dyDescent="0.25">
      <c r="A2970">
        <v>225405</v>
      </c>
      <c r="B2970" t="s">
        <v>14358</v>
      </c>
      <c r="C2970" t="s">
        <v>14359</v>
      </c>
      <c r="D2970" t="s">
        <v>14112</v>
      </c>
      <c r="E2970" t="s">
        <v>14112</v>
      </c>
      <c r="F2970">
        <v>2007</v>
      </c>
      <c r="G2970" t="s">
        <v>1649</v>
      </c>
      <c r="H2970" t="s">
        <v>14360</v>
      </c>
      <c r="J2970" t="s">
        <v>26</v>
      </c>
      <c r="K2970" t="s">
        <v>27</v>
      </c>
      <c r="L2970" t="b">
        <v>1</v>
      </c>
      <c r="M2970" t="s">
        <v>14361</v>
      </c>
      <c r="N2970" t="str">
        <f>"320.9747/1"</f>
        <v>320.9747/1</v>
      </c>
      <c r="P2970" t="b">
        <v>0</v>
      </c>
      <c r="R2970" t="str">
        <f>"9780813541907"</f>
        <v>9780813541907</v>
      </c>
      <c r="S2970" t="str">
        <f>"9780813543895"</f>
        <v>9780813543895</v>
      </c>
      <c r="T2970">
        <v>232301478</v>
      </c>
    </row>
    <row r="2971" spans="1:20" x14ac:dyDescent="0.25">
      <c r="A2971">
        <v>225287</v>
      </c>
      <c r="B2971" t="s">
        <v>14362</v>
      </c>
      <c r="C2971" t="s">
        <v>14363</v>
      </c>
      <c r="D2971" t="s">
        <v>10883</v>
      </c>
      <c r="E2971" t="s">
        <v>10884</v>
      </c>
      <c r="F2971">
        <v>2007</v>
      </c>
      <c r="G2971" t="s">
        <v>9266</v>
      </c>
      <c r="H2971" t="s">
        <v>14364</v>
      </c>
      <c r="I2971" t="s">
        <v>14365</v>
      </c>
      <c r="J2971" t="s">
        <v>26</v>
      </c>
      <c r="K2971" t="s">
        <v>27</v>
      </c>
      <c r="L2971" t="b">
        <v>1</v>
      </c>
      <c r="M2971" t="s">
        <v>14366</v>
      </c>
      <c r="N2971" t="str">
        <f>"615.8/45"</f>
        <v>615.8/45</v>
      </c>
      <c r="P2971" t="b">
        <v>0</v>
      </c>
      <c r="R2971" t="str">
        <f>"9780964107052"</f>
        <v>9780964107052</v>
      </c>
      <c r="S2971" t="str">
        <f>"9781435647824"</f>
        <v>9781435647824</v>
      </c>
      <c r="T2971">
        <v>232337425</v>
      </c>
    </row>
    <row r="2972" spans="1:20" x14ac:dyDescent="0.25">
      <c r="A2972">
        <v>225283</v>
      </c>
      <c r="B2972" t="s">
        <v>14367</v>
      </c>
      <c r="C2972" t="s">
        <v>14368</v>
      </c>
      <c r="D2972" t="s">
        <v>10883</v>
      </c>
      <c r="E2972" t="s">
        <v>10884</v>
      </c>
      <c r="F2972">
        <v>2006</v>
      </c>
      <c r="G2972" t="s">
        <v>8721</v>
      </c>
      <c r="H2972" t="s">
        <v>14369</v>
      </c>
      <c r="I2972" t="s">
        <v>14370</v>
      </c>
      <c r="J2972" t="s">
        <v>26</v>
      </c>
      <c r="K2972" t="s">
        <v>27</v>
      </c>
      <c r="L2972" t="b">
        <v>1</v>
      </c>
      <c r="M2972" t="s">
        <v>14371</v>
      </c>
      <c r="N2972" t="str">
        <f>"616.85/84"</f>
        <v>616.85/84</v>
      </c>
      <c r="P2972" t="b">
        <v>0</v>
      </c>
      <c r="R2972" t="str">
        <f>"9780976156345"</f>
        <v>9780976156345</v>
      </c>
      <c r="S2972" t="str">
        <f>"9781435647732"</f>
        <v>9781435647732</v>
      </c>
      <c r="T2972">
        <v>232335471</v>
      </c>
    </row>
    <row r="2973" spans="1:20" x14ac:dyDescent="0.25">
      <c r="A2973">
        <v>223844</v>
      </c>
      <c r="B2973" t="s">
        <v>14372</v>
      </c>
      <c r="C2973" t="s">
        <v>14373</v>
      </c>
      <c r="D2973" t="s">
        <v>14374</v>
      </c>
      <c r="E2973" t="s">
        <v>14375</v>
      </c>
      <c r="F2973">
        <v>2003</v>
      </c>
      <c r="G2973" t="s">
        <v>14376</v>
      </c>
      <c r="H2973" t="s">
        <v>14377</v>
      </c>
      <c r="I2973" t="s">
        <v>14378</v>
      </c>
      <c r="J2973" t="s">
        <v>26</v>
      </c>
      <c r="K2973" t="s">
        <v>27</v>
      </c>
      <c r="L2973" t="b">
        <v>1</v>
      </c>
      <c r="M2973" t="s">
        <v>14379</v>
      </c>
      <c r="N2973" t="str">
        <f>"640.081"</f>
        <v>640.081</v>
      </c>
      <c r="P2973" t="b">
        <v>0</v>
      </c>
      <c r="R2973" t="str">
        <f>"9781932482003"</f>
        <v>9781932482003</v>
      </c>
      <c r="S2973" t="str">
        <f>"9781932482096"</f>
        <v>9781932482096</v>
      </c>
      <c r="T2973">
        <v>260427051</v>
      </c>
    </row>
    <row r="2974" spans="1:20" x14ac:dyDescent="0.25">
      <c r="A2974">
        <v>222726</v>
      </c>
      <c r="B2974" t="s">
        <v>14380</v>
      </c>
      <c r="D2974" t="s">
        <v>6269</v>
      </c>
      <c r="E2974" t="s">
        <v>14381</v>
      </c>
      <c r="F2974">
        <v>2007</v>
      </c>
      <c r="G2974" t="s">
        <v>535</v>
      </c>
      <c r="H2974" t="s">
        <v>14382</v>
      </c>
      <c r="I2974" t="s">
        <v>14383</v>
      </c>
      <c r="J2974" t="s">
        <v>26</v>
      </c>
      <c r="K2974" t="s">
        <v>27</v>
      </c>
      <c r="L2974" t="b">
        <v>1</v>
      </c>
      <c r="M2974" t="s">
        <v>14384</v>
      </c>
      <c r="N2974" t="str">
        <f>"519.50285"</f>
        <v>519.50285</v>
      </c>
      <c r="O2974" t="s">
        <v>14385</v>
      </c>
      <c r="P2974" t="b">
        <v>0</v>
      </c>
      <c r="R2974" t="str">
        <f>"9781590475669"</f>
        <v>9781590475669</v>
      </c>
      <c r="S2974" t="str">
        <f>"9781599947242"</f>
        <v>9781599947242</v>
      </c>
      <c r="T2974">
        <v>226308494</v>
      </c>
    </row>
    <row r="2975" spans="1:20" x14ac:dyDescent="0.25">
      <c r="A2975">
        <v>220745</v>
      </c>
      <c r="B2975" t="s">
        <v>14386</v>
      </c>
      <c r="C2975" t="s">
        <v>14387</v>
      </c>
      <c r="D2975" t="s">
        <v>255</v>
      </c>
      <c r="E2975" t="s">
        <v>14388</v>
      </c>
      <c r="F2975">
        <v>2003</v>
      </c>
      <c r="G2975" t="s">
        <v>4477</v>
      </c>
      <c r="H2975" t="s">
        <v>14389</v>
      </c>
      <c r="I2975" t="s">
        <v>14390</v>
      </c>
      <c r="J2975" t="s">
        <v>26</v>
      </c>
      <c r="K2975" t="s">
        <v>27</v>
      </c>
      <c r="L2975" t="b">
        <v>1</v>
      </c>
      <c r="M2975" t="s">
        <v>14391</v>
      </c>
      <c r="N2975" t="str">
        <f>"307.7208822"</f>
        <v>307.7208822</v>
      </c>
      <c r="P2975" t="b">
        <v>0</v>
      </c>
      <c r="R2975" t="str">
        <f>"9780954563202"</f>
        <v>9780954563202</v>
      </c>
      <c r="S2975" t="str">
        <f>"9781932528572"</f>
        <v>9781932528572</v>
      </c>
      <c r="T2975">
        <v>232568061</v>
      </c>
    </row>
    <row r="2976" spans="1:20" x14ac:dyDescent="0.25">
      <c r="A2976">
        <v>220744</v>
      </c>
      <c r="B2976" t="s">
        <v>14392</v>
      </c>
      <c r="C2976" t="s">
        <v>14393</v>
      </c>
      <c r="D2976" t="s">
        <v>255</v>
      </c>
      <c r="E2976" t="s">
        <v>11149</v>
      </c>
      <c r="F2976">
        <v>2009</v>
      </c>
      <c r="G2976" t="s">
        <v>4477</v>
      </c>
      <c r="H2976" t="s">
        <v>14394</v>
      </c>
      <c r="J2976" t="s">
        <v>26</v>
      </c>
      <c r="K2976" t="s">
        <v>27</v>
      </c>
      <c r="L2976" t="b">
        <v>1</v>
      </c>
      <c r="M2976" t="s">
        <v>14395</v>
      </c>
      <c r="N2976" t="str">
        <f>"823/.91209"</f>
        <v>823/.91209</v>
      </c>
      <c r="P2976" t="b">
        <v>0</v>
      </c>
      <c r="R2976" t="str">
        <f>"9781932528534"</f>
        <v>9781932528534</v>
      </c>
      <c r="S2976" t="str">
        <f>"9781932528541"</f>
        <v>9781932528541</v>
      </c>
      <c r="T2976">
        <v>301711318</v>
      </c>
    </row>
    <row r="2977" spans="1:20" x14ac:dyDescent="0.25">
      <c r="A2977">
        <v>220743</v>
      </c>
      <c r="B2977" t="s">
        <v>14396</v>
      </c>
      <c r="D2977" t="s">
        <v>255</v>
      </c>
      <c r="E2977" t="s">
        <v>11149</v>
      </c>
      <c r="F2977">
        <v>2008</v>
      </c>
      <c r="G2977" t="s">
        <v>2536</v>
      </c>
      <c r="H2977" t="s">
        <v>14397</v>
      </c>
      <c r="I2977" t="s">
        <v>14398</v>
      </c>
      <c r="J2977" t="s">
        <v>26</v>
      </c>
      <c r="K2977" t="s">
        <v>27</v>
      </c>
      <c r="L2977" t="b">
        <v>1</v>
      </c>
      <c r="M2977" t="s">
        <v>14399</v>
      </c>
      <c r="N2977" t="str">
        <f>"261.5"</f>
        <v>261.5</v>
      </c>
      <c r="P2977" t="b">
        <v>0</v>
      </c>
      <c r="R2977" t="str">
        <f>"9781932528152"</f>
        <v>9781932528152</v>
      </c>
      <c r="S2977" t="str">
        <f>"9781932528510"</f>
        <v>9781932528510</v>
      </c>
      <c r="T2977">
        <v>213384550</v>
      </c>
    </row>
    <row r="2978" spans="1:20" x14ac:dyDescent="0.25">
      <c r="A2978">
        <v>220742</v>
      </c>
      <c r="B2978" t="s">
        <v>14400</v>
      </c>
      <c r="D2978" t="s">
        <v>255</v>
      </c>
      <c r="E2978" t="s">
        <v>11149</v>
      </c>
      <c r="F2978">
        <v>2008</v>
      </c>
      <c r="G2978" t="s">
        <v>2536</v>
      </c>
      <c r="H2978" t="s">
        <v>14401</v>
      </c>
      <c r="J2978" t="s">
        <v>26</v>
      </c>
      <c r="K2978" t="s">
        <v>27</v>
      </c>
      <c r="L2978" t="b">
        <v>1</v>
      </c>
      <c r="M2978" t="s">
        <v>14399</v>
      </c>
      <c r="N2978" t="str">
        <f>"282"</f>
        <v>282</v>
      </c>
      <c r="P2978" t="b">
        <v>0</v>
      </c>
      <c r="R2978" t="str">
        <f>"9781932528169"</f>
        <v>9781932528169</v>
      </c>
      <c r="S2978" t="str">
        <f>"9781932528527"</f>
        <v>9781932528527</v>
      </c>
      <c r="T2978">
        <v>213384464</v>
      </c>
    </row>
    <row r="2979" spans="1:20" x14ac:dyDescent="0.25">
      <c r="A2979">
        <v>220741</v>
      </c>
      <c r="B2979" t="s">
        <v>14402</v>
      </c>
      <c r="C2979" t="s">
        <v>14403</v>
      </c>
      <c r="D2979" t="s">
        <v>255</v>
      </c>
      <c r="E2979" t="s">
        <v>14404</v>
      </c>
      <c r="F2979">
        <v>2008</v>
      </c>
      <c r="G2979" t="s">
        <v>14405</v>
      </c>
      <c r="H2979" t="s">
        <v>14406</v>
      </c>
      <c r="I2979" t="s">
        <v>14407</v>
      </c>
      <c r="J2979" t="s">
        <v>26</v>
      </c>
      <c r="K2979" t="s">
        <v>27</v>
      </c>
      <c r="L2979" t="b">
        <v>1</v>
      </c>
      <c r="M2979" t="s">
        <v>14408</v>
      </c>
      <c r="N2979" t="str">
        <f>"330.12"</f>
        <v>330.12</v>
      </c>
      <c r="P2979" t="b">
        <v>0</v>
      </c>
      <c r="R2979" t="str">
        <f>"9781932528107"</f>
        <v>9781932528107</v>
      </c>
      <c r="S2979" t="str">
        <f>"9781932528565"</f>
        <v>9781932528565</v>
      </c>
      <c r="T2979">
        <v>214061344</v>
      </c>
    </row>
    <row r="2980" spans="1:20" x14ac:dyDescent="0.25">
      <c r="A2980">
        <v>220740</v>
      </c>
      <c r="B2980" t="s">
        <v>14409</v>
      </c>
      <c r="D2980" t="s">
        <v>255</v>
      </c>
      <c r="E2980" t="s">
        <v>11149</v>
      </c>
      <c r="F2980">
        <v>2007</v>
      </c>
      <c r="G2980" t="s">
        <v>681</v>
      </c>
      <c r="H2980" t="s">
        <v>14410</v>
      </c>
      <c r="I2980" t="s">
        <v>14411</v>
      </c>
      <c r="J2980" t="s">
        <v>26</v>
      </c>
      <c r="K2980" t="s">
        <v>27</v>
      </c>
      <c r="L2980" t="b">
        <v>1</v>
      </c>
      <c r="M2980" t="s">
        <v>14412</v>
      </c>
      <c r="N2980" t="str">
        <f>"324.241"</f>
        <v>324.241</v>
      </c>
      <c r="P2980" t="b">
        <v>0</v>
      </c>
      <c r="R2980" t="str">
        <f>"9781932528114"</f>
        <v>9781932528114</v>
      </c>
      <c r="S2980" t="str">
        <f>"9781932528442"</f>
        <v>9781932528442</v>
      </c>
      <c r="T2980">
        <v>214060557</v>
      </c>
    </row>
    <row r="2981" spans="1:20" x14ac:dyDescent="0.25">
      <c r="A2981">
        <v>220739</v>
      </c>
      <c r="B2981" t="s">
        <v>14413</v>
      </c>
      <c r="D2981" t="s">
        <v>255</v>
      </c>
      <c r="E2981" t="s">
        <v>14414</v>
      </c>
      <c r="F2981">
        <v>2007</v>
      </c>
      <c r="G2981" t="s">
        <v>2536</v>
      </c>
      <c r="H2981" t="s">
        <v>14415</v>
      </c>
      <c r="I2981" t="s">
        <v>4973</v>
      </c>
      <c r="J2981" t="s">
        <v>26</v>
      </c>
      <c r="K2981" t="s">
        <v>27</v>
      </c>
      <c r="L2981" t="b">
        <v>1</v>
      </c>
      <c r="M2981" t="s">
        <v>14416</v>
      </c>
      <c r="N2981" t="str">
        <f>"282.09"</f>
        <v>282.09</v>
      </c>
      <c r="P2981" t="b">
        <v>0</v>
      </c>
      <c r="R2981" t="str">
        <f>"9781932528091"</f>
        <v>9781932528091</v>
      </c>
      <c r="S2981" t="str">
        <f>"9781932528435"</f>
        <v>9781932528435</v>
      </c>
      <c r="T2981">
        <v>213362519</v>
      </c>
    </row>
    <row r="2982" spans="1:20" x14ac:dyDescent="0.25">
      <c r="A2982">
        <v>220738</v>
      </c>
      <c r="B2982" t="s">
        <v>14417</v>
      </c>
      <c r="C2982" t="s">
        <v>14418</v>
      </c>
      <c r="D2982" t="s">
        <v>255</v>
      </c>
      <c r="E2982" t="s">
        <v>14404</v>
      </c>
      <c r="F2982">
        <v>2007</v>
      </c>
      <c r="G2982" t="s">
        <v>1649</v>
      </c>
      <c r="H2982" t="s">
        <v>14419</v>
      </c>
      <c r="I2982" t="s">
        <v>14420</v>
      </c>
      <c r="J2982" t="s">
        <v>26</v>
      </c>
      <c r="K2982" t="s">
        <v>27</v>
      </c>
      <c r="L2982" t="b">
        <v>1</v>
      </c>
      <c r="M2982" t="s">
        <v>14421</v>
      </c>
      <c r="N2982" t="str">
        <f>"956.704431"</f>
        <v>956.704431</v>
      </c>
      <c r="P2982" t="b">
        <v>0</v>
      </c>
      <c r="R2982" t="str">
        <f>"9781932528053"</f>
        <v>9781932528053</v>
      </c>
      <c r="S2982" t="str">
        <f>"9781932528428"</f>
        <v>9781932528428</v>
      </c>
      <c r="T2982">
        <v>221643651</v>
      </c>
    </row>
    <row r="2983" spans="1:20" x14ac:dyDescent="0.25">
      <c r="A2983">
        <v>220737</v>
      </c>
      <c r="B2983" t="s">
        <v>14422</v>
      </c>
      <c r="C2983" t="s">
        <v>14423</v>
      </c>
      <c r="D2983" t="s">
        <v>255</v>
      </c>
      <c r="E2983" t="s">
        <v>14404</v>
      </c>
      <c r="F2983">
        <v>2007</v>
      </c>
      <c r="G2983" t="s">
        <v>1649</v>
      </c>
      <c r="H2983" t="s">
        <v>14424</v>
      </c>
      <c r="I2983" t="s">
        <v>14425</v>
      </c>
      <c r="J2983" t="s">
        <v>26</v>
      </c>
      <c r="K2983" t="s">
        <v>27</v>
      </c>
      <c r="L2983" t="b">
        <v>1</v>
      </c>
      <c r="M2983" t="s">
        <v>14421</v>
      </c>
      <c r="N2983" t="str">
        <f>"956.704431"</f>
        <v>956.704431</v>
      </c>
      <c r="P2983" t="b">
        <v>0</v>
      </c>
      <c r="R2983" t="str">
        <f>"9781932528046"</f>
        <v>9781932528046</v>
      </c>
      <c r="S2983" t="str">
        <f>"9781932528411"</f>
        <v>9781932528411</v>
      </c>
      <c r="T2983">
        <v>221642264</v>
      </c>
    </row>
    <row r="2984" spans="1:20" x14ac:dyDescent="0.25">
      <c r="A2984">
        <v>220736</v>
      </c>
      <c r="B2984" t="s">
        <v>14426</v>
      </c>
      <c r="C2984" t="s">
        <v>14427</v>
      </c>
      <c r="D2984" t="s">
        <v>255</v>
      </c>
      <c r="E2984" t="s">
        <v>11149</v>
      </c>
      <c r="F2984">
        <v>2006</v>
      </c>
      <c r="G2984" t="s">
        <v>14428</v>
      </c>
      <c r="H2984" t="s">
        <v>14429</v>
      </c>
      <c r="I2984" t="s">
        <v>14430</v>
      </c>
      <c r="J2984" t="s">
        <v>26</v>
      </c>
      <c r="K2984" t="s">
        <v>27</v>
      </c>
      <c r="L2984" t="b">
        <v>1</v>
      </c>
      <c r="M2984" t="s">
        <v>14431</v>
      </c>
      <c r="N2984" t="str">
        <f>"335/.15"</f>
        <v>335/.15</v>
      </c>
      <c r="P2984" t="b">
        <v>0</v>
      </c>
      <c r="R2984" t="str">
        <f>"9781932528008"</f>
        <v>9781932528008</v>
      </c>
      <c r="S2984" t="str">
        <f>"9781932528404"</f>
        <v>9781932528404</v>
      </c>
      <c r="T2984">
        <v>213362485</v>
      </c>
    </row>
    <row r="2985" spans="1:20" x14ac:dyDescent="0.25">
      <c r="A2985">
        <v>220735</v>
      </c>
      <c r="B2985" t="s">
        <v>14432</v>
      </c>
      <c r="D2985" t="s">
        <v>255</v>
      </c>
      <c r="E2985" t="s">
        <v>11149</v>
      </c>
      <c r="F2985">
        <v>2004</v>
      </c>
      <c r="G2985" t="s">
        <v>14433</v>
      </c>
      <c r="H2985" t="s">
        <v>14434</v>
      </c>
      <c r="I2985" t="s">
        <v>14435</v>
      </c>
      <c r="J2985" t="s">
        <v>26</v>
      </c>
      <c r="K2985" t="s">
        <v>27</v>
      </c>
      <c r="L2985" t="b">
        <v>1</v>
      </c>
      <c r="M2985" t="s">
        <v>14436</v>
      </c>
      <c r="N2985" t="str">
        <f>"330"</f>
        <v>330</v>
      </c>
      <c r="P2985" t="b">
        <v>0</v>
      </c>
      <c r="R2985" t="str">
        <f>"9781932528039"</f>
        <v>9781932528039</v>
      </c>
      <c r="S2985" t="str">
        <f>"9781932528398"</f>
        <v>9781932528398</v>
      </c>
      <c r="T2985">
        <v>213362369</v>
      </c>
    </row>
    <row r="2986" spans="1:20" x14ac:dyDescent="0.25">
      <c r="A2986">
        <v>220734</v>
      </c>
      <c r="B2986" t="s">
        <v>14437</v>
      </c>
      <c r="D2986" t="s">
        <v>255</v>
      </c>
      <c r="E2986" t="s">
        <v>14414</v>
      </c>
      <c r="F2986">
        <v>2006</v>
      </c>
      <c r="G2986" t="s">
        <v>3705</v>
      </c>
      <c r="H2986" t="s">
        <v>14438</v>
      </c>
      <c r="I2986" t="s">
        <v>14439</v>
      </c>
      <c r="J2986" t="s">
        <v>26</v>
      </c>
      <c r="K2986" t="s">
        <v>27</v>
      </c>
      <c r="L2986" t="b">
        <v>1</v>
      </c>
      <c r="M2986" t="s">
        <v>14436</v>
      </c>
      <c r="N2986" t="str">
        <f>"944/.032/092;B"</f>
        <v>944/.032/092;B</v>
      </c>
      <c r="P2986" t="b">
        <v>0</v>
      </c>
      <c r="R2986" t="str">
        <f>"9780971828681"</f>
        <v>9780971828681</v>
      </c>
      <c r="S2986" t="str">
        <f>"9781932528381"</f>
        <v>9781932528381</v>
      </c>
      <c r="T2986">
        <v>213362341</v>
      </c>
    </row>
    <row r="2987" spans="1:20" x14ac:dyDescent="0.25">
      <c r="A2987">
        <v>220733</v>
      </c>
      <c r="B2987" t="s">
        <v>14440</v>
      </c>
      <c r="C2987" t="s">
        <v>7670</v>
      </c>
      <c r="D2987" t="s">
        <v>255</v>
      </c>
      <c r="E2987" t="s">
        <v>11149</v>
      </c>
      <c r="F2987">
        <v>2004</v>
      </c>
      <c r="G2987" t="s">
        <v>14405</v>
      </c>
      <c r="H2987" t="s">
        <v>14441</v>
      </c>
      <c r="I2987" t="s">
        <v>13958</v>
      </c>
      <c r="J2987" t="s">
        <v>26</v>
      </c>
      <c r="K2987" t="s">
        <v>27</v>
      </c>
      <c r="L2987" t="b">
        <v>1</v>
      </c>
      <c r="M2987" t="s">
        <v>14442</v>
      </c>
      <c r="N2987" t="str">
        <f>"330"</f>
        <v>330</v>
      </c>
      <c r="P2987" t="b">
        <v>0</v>
      </c>
      <c r="R2987" t="str">
        <f>"9780971828674"</f>
        <v>9780971828674</v>
      </c>
      <c r="S2987" t="str">
        <f>"9781932528374"</f>
        <v>9781932528374</v>
      </c>
      <c r="T2987">
        <v>213376796</v>
      </c>
    </row>
    <row r="2988" spans="1:20" x14ac:dyDescent="0.25">
      <c r="A2988">
        <v>220732</v>
      </c>
      <c r="B2988" t="s">
        <v>14443</v>
      </c>
      <c r="C2988" t="s">
        <v>14444</v>
      </c>
      <c r="D2988" t="s">
        <v>255</v>
      </c>
      <c r="E2988" t="s">
        <v>14414</v>
      </c>
      <c r="F2988">
        <v>2004</v>
      </c>
      <c r="G2988" t="s">
        <v>3705</v>
      </c>
      <c r="H2988" t="s">
        <v>14445</v>
      </c>
      <c r="I2988" t="s">
        <v>14446</v>
      </c>
      <c r="J2988" t="s">
        <v>26</v>
      </c>
      <c r="K2988" t="s">
        <v>27</v>
      </c>
      <c r="L2988" t="b">
        <v>1</v>
      </c>
      <c r="M2988" t="s">
        <v>14447</v>
      </c>
      <c r="N2988" t="str">
        <f>"943.605/1;B"</f>
        <v>943.605/1;B</v>
      </c>
      <c r="P2988" t="b">
        <v>0</v>
      </c>
      <c r="R2988" t="str">
        <f>"9780971828667"</f>
        <v>9780971828667</v>
      </c>
      <c r="S2988" t="str">
        <f>"9781932528367"</f>
        <v>9781932528367</v>
      </c>
      <c r="T2988">
        <v>213362276</v>
      </c>
    </row>
    <row r="2989" spans="1:20" x14ac:dyDescent="0.25">
      <c r="A2989">
        <v>220731</v>
      </c>
      <c r="B2989" t="s">
        <v>14448</v>
      </c>
      <c r="D2989" t="s">
        <v>255</v>
      </c>
      <c r="E2989" t="s">
        <v>11149</v>
      </c>
      <c r="F2989">
        <v>2004</v>
      </c>
      <c r="G2989" t="s">
        <v>2055</v>
      </c>
      <c r="H2989" t="s">
        <v>14449</v>
      </c>
      <c r="I2989" t="s">
        <v>14450</v>
      </c>
      <c r="J2989" t="s">
        <v>26</v>
      </c>
      <c r="K2989" t="s">
        <v>27</v>
      </c>
      <c r="L2989" t="b">
        <v>1</v>
      </c>
      <c r="M2989" t="s">
        <v>14451</v>
      </c>
      <c r="N2989" t="str">
        <f>"241/.64"</f>
        <v>241/.64</v>
      </c>
      <c r="P2989" t="b">
        <v>0</v>
      </c>
      <c r="R2989" t="str">
        <f>"9780971828650"</f>
        <v>9780971828650</v>
      </c>
      <c r="S2989" t="str">
        <f>"9781932528350"</f>
        <v>9781932528350</v>
      </c>
      <c r="T2989">
        <v>213362230</v>
      </c>
    </row>
    <row r="2990" spans="1:20" x14ac:dyDescent="0.25">
      <c r="A2990">
        <v>220730</v>
      </c>
      <c r="B2990" t="s">
        <v>14452</v>
      </c>
      <c r="D2990" t="s">
        <v>255</v>
      </c>
      <c r="E2990" t="s">
        <v>14414</v>
      </c>
      <c r="F2990">
        <v>2003</v>
      </c>
      <c r="G2990" t="s">
        <v>3779</v>
      </c>
      <c r="H2990" t="s">
        <v>14453</v>
      </c>
      <c r="J2990" t="s">
        <v>26</v>
      </c>
      <c r="K2990" t="s">
        <v>27</v>
      </c>
      <c r="L2990" t="b">
        <v>1</v>
      </c>
      <c r="M2990" t="s">
        <v>14436</v>
      </c>
      <c r="N2990" t="str">
        <f>"941.06/4/092;B"</f>
        <v>941.06/4/092;B</v>
      </c>
      <c r="P2990" t="b">
        <v>0</v>
      </c>
      <c r="R2990" t="str">
        <f>"9780971828643"</f>
        <v>9780971828643</v>
      </c>
      <c r="S2990" t="str">
        <f>"9781932528343"</f>
        <v>9781932528343</v>
      </c>
      <c r="T2990">
        <v>213362206</v>
      </c>
    </row>
    <row r="2991" spans="1:20" x14ac:dyDescent="0.25">
      <c r="A2991">
        <v>220729</v>
      </c>
      <c r="B2991" t="s">
        <v>14454</v>
      </c>
      <c r="D2991" t="s">
        <v>255</v>
      </c>
      <c r="E2991" t="s">
        <v>14414</v>
      </c>
      <c r="F2991">
        <v>2003</v>
      </c>
      <c r="G2991" t="s">
        <v>3779</v>
      </c>
      <c r="H2991" t="s">
        <v>14455</v>
      </c>
      <c r="J2991" t="s">
        <v>26</v>
      </c>
      <c r="K2991" t="s">
        <v>27</v>
      </c>
      <c r="L2991" t="b">
        <v>1</v>
      </c>
      <c r="M2991" t="s">
        <v>14436</v>
      </c>
      <c r="N2991" t="str">
        <f>"942.06/2/092;B"</f>
        <v>942.06/2/092;B</v>
      </c>
      <c r="P2991" t="b">
        <v>0</v>
      </c>
      <c r="R2991" t="str">
        <f>"9780971828636"</f>
        <v>9780971828636</v>
      </c>
      <c r="S2991" t="str">
        <f>"9781932528336"</f>
        <v>9781932528336</v>
      </c>
      <c r="T2991">
        <v>213362190</v>
      </c>
    </row>
    <row r="2992" spans="1:20" x14ac:dyDescent="0.25">
      <c r="A2992">
        <v>220728</v>
      </c>
      <c r="B2992" t="s">
        <v>14456</v>
      </c>
      <c r="D2992" t="s">
        <v>255</v>
      </c>
      <c r="E2992" t="s">
        <v>11149</v>
      </c>
      <c r="F2992">
        <v>2003</v>
      </c>
      <c r="G2992" t="s">
        <v>14457</v>
      </c>
      <c r="H2992" t="s">
        <v>14458</v>
      </c>
      <c r="I2992" t="s">
        <v>14459</v>
      </c>
      <c r="J2992" t="s">
        <v>26</v>
      </c>
      <c r="K2992" t="s">
        <v>27</v>
      </c>
      <c r="L2992" t="b">
        <v>1</v>
      </c>
      <c r="M2992" t="s">
        <v>14460</v>
      </c>
      <c r="N2992" t="str">
        <f>"330.9/031"</f>
        <v>330.9/031</v>
      </c>
      <c r="P2992" t="b">
        <v>0</v>
      </c>
      <c r="R2992" t="str">
        <f>"9780971828629"</f>
        <v>9780971828629</v>
      </c>
      <c r="S2992" t="str">
        <f>"9781932528329"</f>
        <v>9781932528329</v>
      </c>
      <c r="T2992">
        <v>213362171</v>
      </c>
    </row>
    <row r="2993" spans="1:20" x14ac:dyDescent="0.25">
      <c r="A2993">
        <v>220727</v>
      </c>
      <c r="B2993" t="s">
        <v>14461</v>
      </c>
      <c r="D2993" t="s">
        <v>255</v>
      </c>
      <c r="E2993" t="s">
        <v>11149</v>
      </c>
      <c r="F2993">
        <v>2004</v>
      </c>
      <c r="G2993" t="s">
        <v>1968</v>
      </c>
      <c r="H2993" t="s">
        <v>14462</v>
      </c>
      <c r="J2993" t="s">
        <v>26</v>
      </c>
      <c r="K2993" t="s">
        <v>27</v>
      </c>
      <c r="L2993" t="b">
        <v>1</v>
      </c>
      <c r="M2993" t="s">
        <v>14463</v>
      </c>
      <c r="N2993" t="str">
        <f>"824/.912"</f>
        <v>824/.912</v>
      </c>
      <c r="P2993" t="b">
        <v>1</v>
      </c>
      <c r="R2993" t="str">
        <f>"9780971828612"</f>
        <v>9780971828612</v>
      </c>
      <c r="S2993" t="str">
        <f>"9781932528312"</f>
        <v>9781932528312</v>
      </c>
      <c r="T2993">
        <v>213362154</v>
      </c>
    </row>
    <row r="2994" spans="1:20" x14ac:dyDescent="0.25">
      <c r="A2994">
        <v>220726</v>
      </c>
      <c r="B2994" t="s">
        <v>14464</v>
      </c>
      <c r="C2994" t="s">
        <v>14465</v>
      </c>
      <c r="D2994" t="s">
        <v>255</v>
      </c>
      <c r="E2994" t="s">
        <v>11149</v>
      </c>
      <c r="F2994">
        <v>2003</v>
      </c>
      <c r="G2994" t="s">
        <v>7907</v>
      </c>
      <c r="H2994" t="s">
        <v>14466</v>
      </c>
      <c r="I2994" t="s">
        <v>14467</v>
      </c>
      <c r="J2994" t="s">
        <v>26</v>
      </c>
      <c r="K2994" t="s">
        <v>27</v>
      </c>
      <c r="L2994" t="b">
        <v>1</v>
      </c>
      <c r="M2994" t="s">
        <v>14468</v>
      </c>
      <c r="N2994" t="str">
        <f>"307.24"</f>
        <v>307.24</v>
      </c>
      <c r="P2994" t="b">
        <v>0</v>
      </c>
      <c r="R2994" t="str">
        <f>"9780971828605"</f>
        <v>9780971828605</v>
      </c>
      <c r="S2994" t="str">
        <f>"9781932528305"</f>
        <v>9781932528305</v>
      </c>
      <c r="T2994">
        <v>213376782</v>
      </c>
    </row>
    <row r="2995" spans="1:20" x14ac:dyDescent="0.25">
      <c r="A2995">
        <v>220725</v>
      </c>
      <c r="B2995" t="s">
        <v>14469</v>
      </c>
      <c r="C2995" t="s">
        <v>14470</v>
      </c>
      <c r="D2995" t="s">
        <v>255</v>
      </c>
      <c r="E2995" t="s">
        <v>11149</v>
      </c>
      <c r="F2995">
        <v>2003</v>
      </c>
      <c r="G2995" t="s">
        <v>14471</v>
      </c>
      <c r="H2995" t="s">
        <v>14472</v>
      </c>
      <c r="I2995" t="s">
        <v>14473</v>
      </c>
      <c r="J2995" t="s">
        <v>26</v>
      </c>
      <c r="K2995" t="s">
        <v>27</v>
      </c>
      <c r="L2995" t="b">
        <v>1</v>
      </c>
      <c r="M2995" t="s">
        <v>14474</v>
      </c>
      <c r="N2995" t="str">
        <f>"303.44"</f>
        <v>303.44</v>
      </c>
      <c r="P2995" t="b">
        <v>0</v>
      </c>
      <c r="R2995" t="str">
        <f>"9780971489493"</f>
        <v>9780971489493</v>
      </c>
      <c r="S2995" t="str">
        <f>"9781932528299"</f>
        <v>9781932528299</v>
      </c>
      <c r="T2995">
        <v>213362111</v>
      </c>
    </row>
    <row r="2996" spans="1:20" x14ac:dyDescent="0.25">
      <c r="A2996">
        <v>220724</v>
      </c>
      <c r="B2996" t="s">
        <v>14475</v>
      </c>
      <c r="C2996" t="s">
        <v>14476</v>
      </c>
      <c r="D2996" t="s">
        <v>255</v>
      </c>
      <c r="E2996" t="s">
        <v>11149</v>
      </c>
      <c r="F2996">
        <v>2003</v>
      </c>
      <c r="G2996" t="s">
        <v>1968</v>
      </c>
      <c r="H2996" t="s">
        <v>14477</v>
      </c>
      <c r="I2996" t="s">
        <v>14478</v>
      </c>
      <c r="J2996" t="s">
        <v>26</v>
      </c>
      <c r="K2996" t="s">
        <v>27</v>
      </c>
      <c r="L2996" t="b">
        <v>1</v>
      </c>
      <c r="M2996" t="s">
        <v>14463</v>
      </c>
      <c r="N2996" t="str">
        <f>"809"</f>
        <v>809</v>
      </c>
      <c r="P2996" t="b">
        <v>1</v>
      </c>
      <c r="R2996" t="str">
        <f>"9780971489486"</f>
        <v>9780971489486</v>
      </c>
      <c r="S2996" t="str">
        <f>"9781932528282"</f>
        <v>9781932528282</v>
      </c>
      <c r="T2996">
        <v>213362103</v>
      </c>
    </row>
    <row r="2997" spans="1:20" x14ac:dyDescent="0.25">
      <c r="A2997">
        <v>220723</v>
      </c>
      <c r="B2997" t="s">
        <v>14479</v>
      </c>
      <c r="D2997" t="s">
        <v>255</v>
      </c>
      <c r="E2997" t="s">
        <v>11149</v>
      </c>
      <c r="F2997">
        <v>2003</v>
      </c>
      <c r="G2997" t="s">
        <v>125</v>
      </c>
      <c r="H2997" t="s">
        <v>14480</v>
      </c>
      <c r="I2997" t="s">
        <v>14481</v>
      </c>
      <c r="J2997" t="s">
        <v>26</v>
      </c>
      <c r="K2997" t="s">
        <v>27</v>
      </c>
      <c r="L2997" t="b">
        <v>1</v>
      </c>
      <c r="M2997" t="s">
        <v>14482</v>
      </c>
      <c r="N2997" t="str">
        <f>"330.12/2"</f>
        <v>330.12/2</v>
      </c>
      <c r="P2997" t="b">
        <v>0</v>
      </c>
      <c r="R2997" t="str">
        <f>"9780971489479"</f>
        <v>9780971489479</v>
      </c>
      <c r="S2997" t="str">
        <f>"9781932528275"</f>
        <v>9781932528275</v>
      </c>
      <c r="T2997">
        <v>213362096</v>
      </c>
    </row>
    <row r="2998" spans="1:20" x14ac:dyDescent="0.25">
      <c r="A2998">
        <v>220722</v>
      </c>
      <c r="B2998" t="s">
        <v>14483</v>
      </c>
      <c r="D2998" t="s">
        <v>255</v>
      </c>
      <c r="E2998" t="s">
        <v>11149</v>
      </c>
      <c r="F2998">
        <v>2003</v>
      </c>
      <c r="G2998" t="s">
        <v>7907</v>
      </c>
      <c r="H2998" t="s">
        <v>14484</v>
      </c>
      <c r="I2998" t="s">
        <v>14485</v>
      </c>
      <c r="J2998" t="s">
        <v>26</v>
      </c>
      <c r="K2998" t="s">
        <v>27</v>
      </c>
      <c r="L2998" t="b">
        <v>1</v>
      </c>
      <c r="M2998" t="s">
        <v>11156</v>
      </c>
      <c r="N2998" t="str">
        <f>"261.8/5"</f>
        <v>261.8/5</v>
      </c>
      <c r="P2998" t="b">
        <v>0</v>
      </c>
      <c r="R2998" t="str">
        <f>"9780971489462"</f>
        <v>9780971489462</v>
      </c>
      <c r="S2998" t="str">
        <f>"9781932528268"</f>
        <v>9781932528268</v>
      </c>
      <c r="T2998">
        <v>213362056</v>
      </c>
    </row>
    <row r="2999" spans="1:20" x14ac:dyDescent="0.25">
      <c r="A2999">
        <v>220721</v>
      </c>
      <c r="B2999" t="s">
        <v>14486</v>
      </c>
      <c r="D2999" t="s">
        <v>255</v>
      </c>
      <c r="E2999" t="s">
        <v>11149</v>
      </c>
      <c r="F2999">
        <v>2002</v>
      </c>
      <c r="G2999" t="s">
        <v>1968</v>
      </c>
      <c r="H2999" t="s">
        <v>14487</v>
      </c>
      <c r="I2999" t="s">
        <v>14488</v>
      </c>
      <c r="J2999" t="s">
        <v>26</v>
      </c>
      <c r="K2999" t="s">
        <v>27</v>
      </c>
      <c r="L2999" t="b">
        <v>1</v>
      </c>
      <c r="M2999" t="s">
        <v>14463</v>
      </c>
      <c r="N2999" t="str">
        <f>"941.5082/1"</f>
        <v>941.5082/1</v>
      </c>
      <c r="P2999" t="b">
        <v>1</v>
      </c>
      <c r="R2999" t="str">
        <f>"9780971489455"</f>
        <v>9780971489455</v>
      </c>
      <c r="S2999" t="str">
        <f>"9781932528251"</f>
        <v>9781932528251</v>
      </c>
      <c r="T2999">
        <v>213362051</v>
      </c>
    </row>
    <row r="3000" spans="1:20" x14ac:dyDescent="0.25">
      <c r="A3000">
        <v>220720</v>
      </c>
      <c r="B3000" t="s">
        <v>14489</v>
      </c>
      <c r="D3000" t="s">
        <v>255</v>
      </c>
      <c r="E3000" t="s">
        <v>11149</v>
      </c>
      <c r="F3000">
        <v>2002</v>
      </c>
      <c r="G3000" t="s">
        <v>1968</v>
      </c>
      <c r="H3000" t="s">
        <v>14490</v>
      </c>
      <c r="J3000" t="s">
        <v>26</v>
      </c>
      <c r="K3000" t="s">
        <v>27</v>
      </c>
      <c r="L3000" t="b">
        <v>1</v>
      </c>
      <c r="M3000" t="s">
        <v>14463</v>
      </c>
      <c r="N3000" t="str">
        <f>"306/.0941"</f>
        <v>306/.0941</v>
      </c>
      <c r="P3000" t="b">
        <v>1</v>
      </c>
      <c r="R3000" t="str">
        <f>"9780971489431"</f>
        <v>9780971489431</v>
      </c>
      <c r="S3000" t="str">
        <f>"9781932528244"</f>
        <v>9781932528244</v>
      </c>
      <c r="T3000">
        <v>213362041</v>
      </c>
    </row>
    <row r="3001" spans="1:20" x14ac:dyDescent="0.25">
      <c r="A3001">
        <v>220718</v>
      </c>
      <c r="B3001" t="s">
        <v>14491</v>
      </c>
      <c r="D3001" t="s">
        <v>255</v>
      </c>
      <c r="E3001" t="s">
        <v>11149</v>
      </c>
      <c r="F3001">
        <v>2002</v>
      </c>
      <c r="G3001" t="s">
        <v>2536</v>
      </c>
      <c r="H3001" t="s">
        <v>14492</v>
      </c>
      <c r="I3001" t="s">
        <v>14493</v>
      </c>
      <c r="J3001" t="s">
        <v>26</v>
      </c>
      <c r="K3001" t="s">
        <v>27</v>
      </c>
      <c r="L3001" t="b">
        <v>1</v>
      </c>
      <c r="M3001" t="s">
        <v>14494</v>
      </c>
      <c r="N3001" t="str">
        <f>"261.8/088/22"</f>
        <v>261.8/088/22</v>
      </c>
      <c r="P3001" t="b">
        <v>0</v>
      </c>
      <c r="R3001" t="str">
        <f>"9780971489424"</f>
        <v>9780971489424</v>
      </c>
      <c r="S3001" t="str">
        <f>"9781932528220"</f>
        <v>9781932528220</v>
      </c>
      <c r="T3001">
        <v>213361991</v>
      </c>
    </row>
    <row r="3002" spans="1:20" x14ac:dyDescent="0.25">
      <c r="A3002">
        <v>220717</v>
      </c>
      <c r="B3002" t="s">
        <v>14495</v>
      </c>
      <c r="D3002" t="s">
        <v>255</v>
      </c>
      <c r="E3002" t="s">
        <v>11149</v>
      </c>
      <c r="F3002">
        <v>2002</v>
      </c>
      <c r="G3002" t="s">
        <v>10564</v>
      </c>
      <c r="H3002" t="s">
        <v>14496</v>
      </c>
      <c r="I3002" t="s">
        <v>14497</v>
      </c>
      <c r="J3002" t="s">
        <v>26</v>
      </c>
      <c r="K3002" t="s">
        <v>27</v>
      </c>
      <c r="L3002" t="b">
        <v>1</v>
      </c>
      <c r="M3002" t="s">
        <v>14436</v>
      </c>
      <c r="N3002" t="str">
        <f>"323.44/5"</f>
        <v>323.44/5</v>
      </c>
      <c r="P3002" t="b">
        <v>0</v>
      </c>
      <c r="R3002" t="str">
        <f>"9780971489417"</f>
        <v>9780971489417</v>
      </c>
      <c r="S3002" t="str">
        <f>"9781932528213"</f>
        <v>9781932528213</v>
      </c>
      <c r="T3002">
        <v>213361949</v>
      </c>
    </row>
    <row r="3003" spans="1:20" x14ac:dyDescent="0.25">
      <c r="A3003">
        <v>220716</v>
      </c>
      <c r="B3003" t="s">
        <v>14498</v>
      </c>
      <c r="D3003" t="s">
        <v>255</v>
      </c>
      <c r="E3003" t="s">
        <v>11149</v>
      </c>
      <c r="F3003">
        <v>2001</v>
      </c>
      <c r="G3003" t="s">
        <v>14499</v>
      </c>
      <c r="H3003" t="s">
        <v>14500</v>
      </c>
      <c r="I3003" t="s">
        <v>14501</v>
      </c>
      <c r="J3003" t="s">
        <v>26</v>
      </c>
      <c r="K3003" t="s">
        <v>27</v>
      </c>
      <c r="L3003" t="b">
        <v>1</v>
      </c>
      <c r="M3003" t="s">
        <v>14463</v>
      </c>
      <c r="N3003" t="str">
        <f>"330.1/7"</f>
        <v>330.1/7</v>
      </c>
      <c r="P3003" t="b">
        <v>0</v>
      </c>
      <c r="R3003" t="str">
        <f>"9780971489400"</f>
        <v>9780971489400</v>
      </c>
      <c r="S3003" t="str">
        <f>"9781932528206"</f>
        <v>9781932528206</v>
      </c>
      <c r="T3003">
        <v>213355709</v>
      </c>
    </row>
    <row r="3004" spans="1:20" x14ac:dyDescent="0.25">
      <c r="A3004">
        <v>220628</v>
      </c>
      <c r="B3004" t="s">
        <v>14502</v>
      </c>
      <c r="C3004" t="s">
        <v>14503</v>
      </c>
      <c r="D3004" t="s">
        <v>10883</v>
      </c>
      <c r="E3004" t="s">
        <v>10884</v>
      </c>
      <c r="F3004">
        <v>2003</v>
      </c>
      <c r="G3004" t="s">
        <v>9266</v>
      </c>
      <c r="H3004" t="s">
        <v>14504</v>
      </c>
      <c r="I3004" t="s">
        <v>14505</v>
      </c>
      <c r="J3004" t="s">
        <v>26</v>
      </c>
      <c r="K3004" t="s">
        <v>27</v>
      </c>
      <c r="L3004" t="b">
        <v>1</v>
      </c>
      <c r="M3004" t="s">
        <v>14506</v>
      </c>
      <c r="N3004" t="str">
        <f>"616.89/14"</f>
        <v>616.89/14</v>
      </c>
      <c r="P3004" t="b">
        <v>0</v>
      </c>
      <c r="R3004" t="str">
        <f>"9781565500938"</f>
        <v>9781565500938</v>
      </c>
      <c r="S3004" t="str">
        <f>"9781435632875"</f>
        <v>9781435632875</v>
      </c>
      <c r="T3004">
        <v>213340511</v>
      </c>
    </row>
    <row r="3005" spans="1:20" x14ac:dyDescent="0.25">
      <c r="A3005">
        <v>219534</v>
      </c>
      <c r="B3005" t="s">
        <v>14507</v>
      </c>
      <c r="D3005" t="s">
        <v>9272</v>
      </c>
      <c r="E3005" t="s">
        <v>9273</v>
      </c>
      <c r="F3005">
        <v>2007</v>
      </c>
      <c r="G3005" t="s">
        <v>11000</v>
      </c>
      <c r="H3005" t="s">
        <v>14508</v>
      </c>
      <c r="I3005" t="s">
        <v>14509</v>
      </c>
      <c r="J3005" t="s">
        <v>26</v>
      </c>
      <c r="K3005" t="s">
        <v>27</v>
      </c>
      <c r="L3005" t="b">
        <v>1</v>
      </c>
      <c r="M3005" t="s">
        <v>14510</v>
      </c>
      <c r="N3005" t="str">
        <f>"363.1926"</f>
        <v>363.1926</v>
      </c>
      <c r="P3005" t="b">
        <v>0</v>
      </c>
      <c r="R3005" t="str">
        <f>"9781854183842"</f>
        <v>9781854183842</v>
      </c>
      <c r="S3005" t="str">
        <f>"9781435631564"</f>
        <v>9781435631564</v>
      </c>
      <c r="T3005">
        <v>194418491</v>
      </c>
    </row>
    <row r="3006" spans="1:20" x14ac:dyDescent="0.25">
      <c r="A3006">
        <v>218878</v>
      </c>
      <c r="B3006" t="s">
        <v>14511</v>
      </c>
      <c r="D3006" t="s">
        <v>203</v>
      </c>
      <c r="E3006" t="s">
        <v>1109</v>
      </c>
      <c r="F3006">
        <v>2008</v>
      </c>
      <c r="G3006" t="s">
        <v>1110</v>
      </c>
      <c r="H3006" t="s">
        <v>14512</v>
      </c>
      <c r="I3006" t="s">
        <v>14513</v>
      </c>
      <c r="J3006" t="s">
        <v>26</v>
      </c>
      <c r="K3006" t="s">
        <v>86</v>
      </c>
      <c r="L3006" t="b">
        <v>1</v>
      </c>
      <c r="M3006" t="s">
        <v>14514</v>
      </c>
      <c r="N3006" t="str">
        <f>"616.8900711"</f>
        <v>616.8900711</v>
      </c>
      <c r="P3006" t="b">
        <v>0</v>
      </c>
      <c r="R3006" t="str">
        <f>"9781904671343"</f>
        <v>9781904671343</v>
      </c>
      <c r="S3006" t="str">
        <f>"9781435628816"</f>
        <v>9781435628816</v>
      </c>
      <c r="T3006">
        <v>213481167</v>
      </c>
    </row>
    <row r="3007" spans="1:20" x14ac:dyDescent="0.25">
      <c r="A3007">
        <v>218670</v>
      </c>
      <c r="B3007" t="s">
        <v>14515</v>
      </c>
      <c r="C3007" t="s">
        <v>14516</v>
      </c>
      <c r="D3007" t="s">
        <v>10883</v>
      </c>
      <c r="E3007" t="s">
        <v>10884</v>
      </c>
      <c r="F3007">
        <v>2006</v>
      </c>
      <c r="G3007" t="s">
        <v>9809</v>
      </c>
      <c r="H3007" t="s">
        <v>14517</v>
      </c>
      <c r="I3007" t="s">
        <v>9811</v>
      </c>
      <c r="J3007" t="s">
        <v>26</v>
      </c>
      <c r="K3007" t="s">
        <v>27</v>
      </c>
      <c r="L3007" t="b">
        <v>1</v>
      </c>
      <c r="M3007" t="s">
        <v>14518</v>
      </c>
      <c r="N3007" t="str">
        <f>"155.9/042"</f>
        <v>155.9/042</v>
      </c>
      <c r="P3007" t="b">
        <v>0</v>
      </c>
      <c r="R3007" t="str">
        <f>"9780976397274"</f>
        <v>9780976397274</v>
      </c>
      <c r="S3007" t="str">
        <f>"9781435631366"</f>
        <v>9781435631366</v>
      </c>
      <c r="T3007">
        <v>194197791</v>
      </c>
    </row>
    <row r="3008" spans="1:20" x14ac:dyDescent="0.25">
      <c r="A3008">
        <v>218669</v>
      </c>
      <c r="B3008" t="s">
        <v>14519</v>
      </c>
      <c r="C3008" t="s">
        <v>14520</v>
      </c>
      <c r="D3008" t="s">
        <v>10883</v>
      </c>
      <c r="E3008" t="s">
        <v>10884</v>
      </c>
      <c r="F3008">
        <v>2007</v>
      </c>
      <c r="G3008" t="s">
        <v>7599</v>
      </c>
      <c r="H3008" t="s">
        <v>14521</v>
      </c>
      <c r="I3008" t="s">
        <v>14522</v>
      </c>
      <c r="J3008" t="s">
        <v>26</v>
      </c>
      <c r="K3008" t="s">
        <v>27</v>
      </c>
      <c r="L3008" t="b">
        <v>1</v>
      </c>
      <c r="M3008" t="s">
        <v>14518</v>
      </c>
      <c r="N3008" t="str">
        <f>"618.92/8582"</f>
        <v>618.92/8582</v>
      </c>
      <c r="P3008" t="b">
        <v>0</v>
      </c>
      <c r="R3008" t="str">
        <f>"9781933631745"</f>
        <v>9781933631745</v>
      </c>
      <c r="S3008" t="str">
        <f>"9781435631373"</f>
        <v>9781435631373</v>
      </c>
      <c r="T3008">
        <v>194193738</v>
      </c>
    </row>
    <row r="3009" spans="1:20" x14ac:dyDescent="0.25">
      <c r="A3009">
        <v>218668</v>
      </c>
      <c r="B3009" t="s">
        <v>14523</v>
      </c>
      <c r="C3009" t="s">
        <v>14524</v>
      </c>
      <c r="D3009" t="s">
        <v>10883</v>
      </c>
      <c r="E3009" t="s">
        <v>10884</v>
      </c>
      <c r="F3009">
        <v>2006</v>
      </c>
      <c r="G3009" t="s">
        <v>9809</v>
      </c>
      <c r="H3009" t="s">
        <v>14517</v>
      </c>
      <c r="I3009" t="s">
        <v>14525</v>
      </c>
      <c r="J3009" t="s">
        <v>26</v>
      </c>
      <c r="K3009" t="s">
        <v>27</v>
      </c>
      <c r="L3009" t="b">
        <v>1</v>
      </c>
      <c r="M3009" t="s">
        <v>14518</v>
      </c>
      <c r="N3009" t="str">
        <f>"155.9/042"</f>
        <v>155.9/042</v>
      </c>
      <c r="P3009" t="b">
        <v>0</v>
      </c>
      <c r="R3009" t="str">
        <f>"9780976397298"</f>
        <v>9780976397298</v>
      </c>
      <c r="S3009" t="str">
        <f>"9781435631359"</f>
        <v>9781435631359</v>
      </c>
      <c r="T3009">
        <v>194189770</v>
      </c>
    </row>
    <row r="3010" spans="1:20" x14ac:dyDescent="0.25">
      <c r="A3010">
        <v>218667</v>
      </c>
      <c r="B3010" t="s">
        <v>14519</v>
      </c>
      <c r="C3010" t="s">
        <v>14526</v>
      </c>
      <c r="D3010" t="s">
        <v>10883</v>
      </c>
      <c r="E3010" t="s">
        <v>10884</v>
      </c>
      <c r="F3010">
        <v>2006</v>
      </c>
      <c r="G3010" t="s">
        <v>2000</v>
      </c>
      <c r="H3010" t="s">
        <v>14527</v>
      </c>
      <c r="I3010" t="s">
        <v>14528</v>
      </c>
      <c r="J3010" t="s">
        <v>26</v>
      </c>
      <c r="K3010" t="s">
        <v>27</v>
      </c>
      <c r="L3010" t="b">
        <v>1</v>
      </c>
      <c r="M3010" t="s">
        <v>14518</v>
      </c>
      <c r="N3010" t="str">
        <f>"618.92/89"</f>
        <v>618.92/89</v>
      </c>
      <c r="P3010" t="b">
        <v>0</v>
      </c>
      <c r="R3010" t="str">
        <f>"9781933631486"</f>
        <v>9781933631486</v>
      </c>
      <c r="S3010" t="str">
        <f>"9781435631380"</f>
        <v>9781435631380</v>
      </c>
      <c r="T3010">
        <v>194161913</v>
      </c>
    </row>
    <row r="3011" spans="1:20" x14ac:dyDescent="0.25">
      <c r="A3011">
        <v>217428</v>
      </c>
      <c r="B3011" t="s">
        <v>14529</v>
      </c>
      <c r="C3011" t="s">
        <v>14530</v>
      </c>
      <c r="D3011" t="s">
        <v>13060</v>
      </c>
      <c r="E3011" t="s">
        <v>13060</v>
      </c>
      <c r="F3011">
        <v>2008</v>
      </c>
      <c r="G3011" t="s">
        <v>540</v>
      </c>
      <c r="H3011" t="s">
        <v>14531</v>
      </c>
      <c r="I3011" t="s">
        <v>12663</v>
      </c>
      <c r="J3011" t="s">
        <v>26</v>
      </c>
      <c r="K3011" t="s">
        <v>27</v>
      </c>
      <c r="L3011" t="b">
        <v>1</v>
      </c>
      <c r="M3011" t="s">
        <v>14532</v>
      </c>
      <c r="N3011" t="str">
        <f>"363.738/74"</f>
        <v>363.738/74</v>
      </c>
      <c r="P3011" t="b">
        <v>0</v>
      </c>
      <c r="R3011" t="str">
        <f>"9781600050879"</f>
        <v>9781600050879</v>
      </c>
      <c r="S3011" t="str">
        <f>"9781600050886"</f>
        <v>9781600050886</v>
      </c>
      <c r="T3011">
        <v>232576681</v>
      </c>
    </row>
    <row r="3012" spans="1:20" x14ac:dyDescent="0.25">
      <c r="A3012">
        <v>217399</v>
      </c>
      <c r="B3012" t="s">
        <v>14533</v>
      </c>
      <c r="C3012" t="s">
        <v>14534</v>
      </c>
      <c r="D3012" t="s">
        <v>14535</v>
      </c>
      <c r="E3012" t="s">
        <v>14536</v>
      </c>
      <c r="F3012">
        <v>2003</v>
      </c>
      <c r="G3012" t="s">
        <v>9180</v>
      </c>
      <c r="H3012" t="s">
        <v>14537</v>
      </c>
      <c r="I3012" t="s">
        <v>14538</v>
      </c>
      <c r="J3012" t="s">
        <v>26</v>
      </c>
      <c r="K3012" t="s">
        <v>27</v>
      </c>
      <c r="L3012" t="b">
        <v>1</v>
      </c>
      <c r="M3012" t="s">
        <v>14539</v>
      </c>
      <c r="N3012" t="str">
        <f>"610.73/06/9"</f>
        <v>610.73/06/9</v>
      </c>
      <c r="O3012" t="s">
        <v>14540</v>
      </c>
      <c r="P3012" t="b">
        <v>0</v>
      </c>
      <c r="R3012" t="str">
        <f>"9781885288325"</f>
        <v>9781885288325</v>
      </c>
      <c r="S3012" t="str">
        <f>"9781885288707"</f>
        <v>9781885288707</v>
      </c>
      <c r="T3012">
        <v>191696424</v>
      </c>
    </row>
    <row r="3013" spans="1:20" x14ac:dyDescent="0.25">
      <c r="A3013">
        <v>217398</v>
      </c>
      <c r="B3013" t="s">
        <v>14541</v>
      </c>
      <c r="D3013" t="s">
        <v>14535</v>
      </c>
      <c r="E3013" t="s">
        <v>14536</v>
      </c>
      <c r="F3013">
        <v>2001</v>
      </c>
      <c r="G3013" t="s">
        <v>14542</v>
      </c>
      <c r="H3013" t="s">
        <v>14543</v>
      </c>
      <c r="I3013" t="s">
        <v>14544</v>
      </c>
      <c r="J3013" t="s">
        <v>26</v>
      </c>
      <c r="K3013" t="s">
        <v>27</v>
      </c>
      <c r="L3013" t="b">
        <v>1</v>
      </c>
      <c r="M3013" t="s">
        <v>14539</v>
      </c>
      <c r="N3013" t="str">
        <f>"650.14/2"</f>
        <v>650.14/2</v>
      </c>
      <c r="O3013" t="s">
        <v>14540</v>
      </c>
      <c r="P3013" t="b">
        <v>0</v>
      </c>
      <c r="R3013" t="str">
        <f>"9781885288141"</f>
        <v>9781885288141</v>
      </c>
      <c r="S3013" t="str">
        <f>"9781885288691"</f>
        <v>9781885288691</v>
      </c>
      <c r="T3013">
        <v>191696373</v>
      </c>
    </row>
    <row r="3014" spans="1:20" x14ac:dyDescent="0.25">
      <c r="A3014">
        <v>217392</v>
      </c>
      <c r="B3014" t="s">
        <v>14545</v>
      </c>
      <c r="C3014" t="e">
        <f>-- Including Real Resumes Used to Change Careers and Gain Federal Employment</f>
        <v>#NAME?</v>
      </c>
      <c r="D3014" t="s">
        <v>14535</v>
      </c>
      <c r="E3014" t="s">
        <v>14536</v>
      </c>
      <c r="F3014">
        <v>2004</v>
      </c>
      <c r="G3014" t="s">
        <v>14542</v>
      </c>
      <c r="H3014" t="s">
        <v>14546</v>
      </c>
      <c r="I3014" t="s">
        <v>14547</v>
      </c>
      <c r="J3014" t="s">
        <v>26</v>
      </c>
      <c r="K3014" t="s">
        <v>27</v>
      </c>
      <c r="L3014" t="b">
        <v>1</v>
      </c>
      <c r="M3014" t="s">
        <v>14539</v>
      </c>
      <c r="N3014" t="str">
        <f>"650.14/2"</f>
        <v>650.14/2</v>
      </c>
      <c r="O3014" t="s">
        <v>14548</v>
      </c>
      <c r="P3014" t="b">
        <v>0</v>
      </c>
      <c r="R3014" t="str">
        <f>"9781885288394"</f>
        <v>9781885288394</v>
      </c>
      <c r="S3014" t="str">
        <f>"9781885288639"</f>
        <v>9781885288639</v>
      </c>
      <c r="T3014">
        <v>191696197</v>
      </c>
    </row>
    <row r="3015" spans="1:20" x14ac:dyDescent="0.25">
      <c r="A3015">
        <v>217390</v>
      </c>
      <c r="B3015" t="s">
        <v>14549</v>
      </c>
      <c r="C3015" t="e">
        <f>--Including Real Resumes Used to Change Careers and Resumes Used to Gain Federal Employment</f>
        <v>#NAME?</v>
      </c>
      <c r="D3015" t="s">
        <v>14535</v>
      </c>
      <c r="E3015" t="s">
        <v>14536</v>
      </c>
      <c r="F3015">
        <v>2004</v>
      </c>
      <c r="G3015" t="s">
        <v>14542</v>
      </c>
      <c r="H3015" t="s">
        <v>14550</v>
      </c>
      <c r="I3015" t="s">
        <v>14551</v>
      </c>
      <c r="J3015" t="s">
        <v>26</v>
      </c>
      <c r="K3015" t="s">
        <v>27</v>
      </c>
      <c r="L3015" t="b">
        <v>1</v>
      </c>
      <c r="M3015" t="s">
        <v>14539</v>
      </c>
      <c r="N3015" t="str">
        <f>"650.14/2"</f>
        <v>650.14/2</v>
      </c>
      <c r="O3015" t="s">
        <v>14548</v>
      </c>
      <c r="P3015" t="b">
        <v>0</v>
      </c>
      <c r="R3015" t="str">
        <f>"9781885288424"</f>
        <v>9781885288424</v>
      </c>
      <c r="S3015" t="str">
        <f>"9781885288615"</f>
        <v>9781885288615</v>
      </c>
      <c r="T3015">
        <v>191685784</v>
      </c>
    </row>
    <row r="3016" spans="1:20" x14ac:dyDescent="0.25">
      <c r="A3016">
        <v>216566</v>
      </c>
      <c r="B3016" t="s">
        <v>14552</v>
      </c>
      <c r="D3016" t="s">
        <v>10883</v>
      </c>
      <c r="E3016" t="s">
        <v>10884</v>
      </c>
      <c r="F3016">
        <v>1999</v>
      </c>
      <c r="G3016" t="s">
        <v>14553</v>
      </c>
      <c r="H3016" t="s">
        <v>14554</v>
      </c>
      <c r="I3016" t="s">
        <v>14555</v>
      </c>
      <c r="J3016" t="s">
        <v>26</v>
      </c>
      <c r="K3016" t="s">
        <v>27</v>
      </c>
      <c r="L3016" t="b">
        <v>1</v>
      </c>
      <c r="M3016" t="s">
        <v>14556</v>
      </c>
      <c r="N3016" t="str">
        <f>"659.1/52"</f>
        <v>659.1/52</v>
      </c>
      <c r="P3016" t="b">
        <v>0</v>
      </c>
      <c r="R3016" t="str">
        <f>"9780965541213"</f>
        <v>9780965541213</v>
      </c>
      <c r="S3016" t="str">
        <f>"9781435625341"</f>
        <v>9781435625341</v>
      </c>
      <c r="T3016">
        <v>191806727</v>
      </c>
    </row>
    <row r="3017" spans="1:20" x14ac:dyDescent="0.25">
      <c r="A3017">
        <v>216565</v>
      </c>
      <c r="B3017" t="s">
        <v>14557</v>
      </c>
      <c r="D3017" t="s">
        <v>10883</v>
      </c>
      <c r="E3017" t="s">
        <v>10884</v>
      </c>
      <c r="F3017">
        <v>1997</v>
      </c>
      <c r="G3017" t="s">
        <v>14558</v>
      </c>
      <c r="H3017" t="s">
        <v>14559</v>
      </c>
      <c r="I3017" t="s">
        <v>14555</v>
      </c>
      <c r="J3017" t="s">
        <v>26</v>
      </c>
      <c r="K3017" t="s">
        <v>27</v>
      </c>
      <c r="L3017" t="b">
        <v>1</v>
      </c>
      <c r="M3017" t="s">
        <v>14560</v>
      </c>
      <c r="N3017" t="str">
        <f>"658.8/4"</f>
        <v>658.8/4</v>
      </c>
      <c r="P3017" t="b">
        <v>0</v>
      </c>
      <c r="R3017" t="str">
        <f>"9780965541206"</f>
        <v>9780965541206</v>
      </c>
      <c r="S3017" t="str">
        <f>"9781435624795"</f>
        <v>9781435624795</v>
      </c>
      <c r="T3017">
        <v>191530068</v>
      </c>
    </row>
    <row r="3018" spans="1:20" x14ac:dyDescent="0.25">
      <c r="A3018">
        <v>216564</v>
      </c>
      <c r="B3018" t="s">
        <v>14561</v>
      </c>
      <c r="D3018" t="s">
        <v>10883</v>
      </c>
      <c r="E3018" t="s">
        <v>10884</v>
      </c>
      <c r="F3018">
        <v>2002</v>
      </c>
      <c r="G3018" t="s">
        <v>14553</v>
      </c>
      <c r="H3018" t="s">
        <v>14562</v>
      </c>
      <c r="I3018" t="s">
        <v>14563</v>
      </c>
      <c r="J3018" t="s">
        <v>26</v>
      </c>
      <c r="K3018" t="s">
        <v>27</v>
      </c>
      <c r="L3018" t="b">
        <v>1</v>
      </c>
      <c r="M3018" t="s">
        <v>14564</v>
      </c>
      <c r="N3018" t="str">
        <f>"659.1/52"</f>
        <v>659.1/52</v>
      </c>
      <c r="P3018" t="b">
        <v>0</v>
      </c>
      <c r="R3018" t="str">
        <f>"9780965541237"</f>
        <v>9780965541237</v>
      </c>
      <c r="S3018" t="str">
        <f>"9781435624801"</f>
        <v>9781435624801</v>
      </c>
      <c r="T3018">
        <v>191698364</v>
      </c>
    </row>
    <row r="3019" spans="1:20" x14ac:dyDescent="0.25">
      <c r="A3019">
        <v>214903</v>
      </c>
      <c r="B3019" t="s">
        <v>14565</v>
      </c>
      <c r="D3019" t="s">
        <v>10883</v>
      </c>
      <c r="E3019" t="s">
        <v>10884</v>
      </c>
      <c r="F3019">
        <v>1995</v>
      </c>
      <c r="G3019" t="s">
        <v>14566</v>
      </c>
      <c r="H3019" t="s">
        <v>14567</v>
      </c>
      <c r="I3019" t="s">
        <v>14568</v>
      </c>
      <c r="J3019" t="s">
        <v>26</v>
      </c>
      <c r="K3019" t="s">
        <v>27</v>
      </c>
      <c r="L3019" t="b">
        <v>1</v>
      </c>
      <c r="M3019" t="s">
        <v>14569</v>
      </c>
      <c r="N3019" t="str">
        <f>"362.43092"</f>
        <v>362.43092</v>
      </c>
      <c r="P3019" t="b">
        <v>0</v>
      </c>
      <c r="R3019" t="str">
        <f>"9780725107475"</f>
        <v>9780725107475</v>
      </c>
      <c r="S3019" t="str">
        <f>"9781435617049"</f>
        <v>9781435617049</v>
      </c>
      <c r="T3019">
        <v>189793178</v>
      </c>
    </row>
    <row r="3020" spans="1:20" x14ac:dyDescent="0.25">
      <c r="A3020">
        <v>214805</v>
      </c>
      <c r="B3020" t="s">
        <v>14570</v>
      </c>
      <c r="C3020" t="s">
        <v>14571</v>
      </c>
      <c r="D3020" t="s">
        <v>10161</v>
      </c>
      <c r="E3020" t="s">
        <v>10161</v>
      </c>
      <c r="F3020">
        <v>2008</v>
      </c>
      <c r="G3020" t="s">
        <v>8311</v>
      </c>
      <c r="H3020" t="s">
        <v>14572</v>
      </c>
      <c r="I3020" t="s">
        <v>14573</v>
      </c>
      <c r="J3020" t="s">
        <v>26</v>
      </c>
      <c r="K3020" t="s">
        <v>27</v>
      </c>
      <c r="L3020" t="b">
        <v>1</v>
      </c>
      <c r="M3020" t="s">
        <v>14574</v>
      </c>
      <c r="N3020" t="str">
        <f>"362.109172/4"</f>
        <v>362.109172/4</v>
      </c>
      <c r="P3020" t="b">
        <v>0</v>
      </c>
      <c r="R3020" t="str">
        <f>"9781592215973"</f>
        <v>9781592215973</v>
      </c>
      <c r="S3020" t="str">
        <f>"9781552503706"</f>
        <v>9781552503706</v>
      </c>
      <c r="T3020">
        <v>191077598</v>
      </c>
    </row>
    <row r="3021" spans="1:20" x14ac:dyDescent="0.25">
      <c r="A3021">
        <v>214014</v>
      </c>
      <c r="B3021" t="s">
        <v>14575</v>
      </c>
      <c r="C3021" t="s">
        <v>2054</v>
      </c>
      <c r="D3021" t="s">
        <v>131</v>
      </c>
      <c r="E3021" t="s">
        <v>552</v>
      </c>
      <c r="F3021">
        <v>2007</v>
      </c>
      <c r="G3021" t="s">
        <v>14576</v>
      </c>
      <c r="H3021" t="s">
        <v>14577</v>
      </c>
      <c r="I3021" t="s">
        <v>14578</v>
      </c>
      <c r="J3021" t="s">
        <v>26</v>
      </c>
      <c r="K3021" t="s">
        <v>86</v>
      </c>
      <c r="L3021" t="b">
        <v>1</v>
      </c>
      <c r="M3021" t="s">
        <v>14579</v>
      </c>
      <c r="N3021" t="str">
        <f>"576.839"</f>
        <v>576.839</v>
      </c>
      <c r="O3021" t="s">
        <v>562</v>
      </c>
      <c r="P3021" t="b">
        <v>0</v>
      </c>
      <c r="Q3021" t="b">
        <v>0</v>
      </c>
      <c r="R3021" t="str">
        <f>"9781851685059"</f>
        <v>9781851685059</v>
      </c>
      <c r="S3021" t="str">
        <f>"9781435616646"</f>
        <v>9781435616646</v>
      </c>
      <c r="T3021">
        <v>189667972</v>
      </c>
    </row>
    <row r="3022" spans="1:20" x14ac:dyDescent="0.25">
      <c r="A3022">
        <v>212658</v>
      </c>
      <c r="B3022" t="s">
        <v>14580</v>
      </c>
      <c r="C3022" t="s">
        <v>14581</v>
      </c>
      <c r="D3022" t="s">
        <v>226</v>
      </c>
      <c r="E3022" t="s">
        <v>226</v>
      </c>
      <c r="F3022">
        <v>2002</v>
      </c>
      <c r="G3022" t="s">
        <v>197</v>
      </c>
      <c r="H3022" t="s">
        <v>14582</v>
      </c>
      <c r="I3022" t="s">
        <v>14583</v>
      </c>
      <c r="J3022" t="s">
        <v>26</v>
      </c>
      <c r="K3022" t="s">
        <v>27</v>
      </c>
      <c r="L3022" t="b">
        <v>1</v>
      </c>
      <c r="M3022" t="s">
        <v>14584</v>
      </c>
      <c r="N3022" t="str">
        <f>"658.8/34/0842"</f>
        <v>658.8/34/0842</v>
      </c>
      <c r="P3022" t="b">
        <v>0</v>
      </c>
      <c r="Q3022" t="b">
        <v>0</v>
      </c>
      <c r="R3022" t="str">
        <f>"9780226468914"</f>
        <v>9780226468914</v>
      </c>
      <c r="S3022" t="str">
        <f>"9780226467023"</f>
        <v>9780226467023</v>
      </c>
      <c r="T3022">
        <v>191726257</v>
      </c>
    </row>
    <row r="3023" spans="1:20" x14ac:dyDescent="0.25">
      <c r="A3023">
        <v>212600</v>
      </c>
      <c r="B3023" t="s">
        <v>14585</v>
      </c>
      <c r="C3023" t="s">
        <v>14586</v>
      </c>
      <c r="D3023" t="s">
        <v>226</v>
      </c>
      <c r="E3023" t="s">
        <v>226</v>
      </c>
      <c r="F3023">
        <v>2003</v>
      </c>
      <c r="G3023" t="s">
        <v>182</v>
      </c>
      <c r="H3023" t="s">
        <v>14587</v>
      </c>
      <c r="I3023" t="s">
        <v>14588</v>
      </c>
      <c r="J3023" t="s">
        <v>26</v>
      </c>
      <c r="K3023" t="s">
        <v>27</v>
      </c>
      <c r="L3023" t="b">
        <v>1</v>
      </c>
      <c r="M3023" t="s">
        <v>14589</v>
      </c>
      <c r="N3023" t="str">
        <f>"306"</f>
        <v>306</v>
      </c>
      <c r="O3023" t="s">
        <v>14590</v>
      </c>
      <c r="P3023" t="b">
        <v>0</v>
      </c>
      <c r="Q3023" t="b">
        <v>0</v>
      </c>
      <c r="R3023" t="str">
        <f>"9780226072791"</f>
        <v>9780226072791</v>
      </c>
      <c r="S3023" t="str">
        <f>"9780226072814"</f>
        <v>9780226072814</v>
      </c>
      <c r="T3023">
        <v>187305526</v>
      </c>
    </row>
    <row r="3024" spans="1:20" x14ac:dyDescent="0.25">
      <c r="A3024">
        <v>212582</v>
      </c>
      <c r="B3024" t="s">
        <v>14591</v>
      </c>
      <c r="D3024" t="s">
        <v>6269</v>
      </c>
      <c r="E3024" t="s">
        <v>6269</v>
      </c>
      <c r="F3024">
        <v>2007</v>
      </c>
      <c r="G3024" t="s">
        <v>8706</v>
      </c>
      <c r="H3024" t="s">
        <v>14592</v>
      </c>
      <c r="I3024" t="s">
        <v>14593</v>
      </c>
      <c r="J3024" t="s">
        <v>26</v>
      </c>
      <c r="K3024" t="s">
        <v>27</v>
      </c>
      <c r="L3024" t="b">
        <v>1</v>
      </c>
      <c r="M3024" t="s">
        <v>14594</v>
      </c>
      <c r="N3024" t="str">
        <f>"610.727"</f>
        <v>610.727</v>
      </c>
      <c r="O3024" t="s">
        <v>14385</v>
      </c>
      <c r="P3024" t="b">
        <v>0</v>
      </c>
      <c r="R3024" t="str">
        <f>"9781599942988"</f>
        <v>9781599942988</v>
      </c>
      <c r="S3024" t="str">
        <f>"9781599946344"</f>
        <v>9781599946344</v>
      </c>
      <c r="T3024">
        <v>182861237</v>
      </c>
    </row>
    <row r="3025" spans="1:20" x14ac:dyDescent="0.25">
      <c r="A3025">
        <v>210972</v>
      </c>
      <c r="B3025" t="s">
        <v>14595</v>
      </c>
      <c r="D3025" t="s">
        <v>1364</v>
      </c>
      <c r="E3025" t="s">
        <v>1364</v>
      </c>
      <c r="F3025">
        <v>2003</v>
      </c>
      <c r="G3025" t="s">
        <v>5014</v>
      </c>
      <c r="H3025" t="s">
        <v>14596</v>
      </c>
      <c r="I3025" t="s">
        <v>14597</v>
      </c>
      <c r="J3025" t="s">
        <v>7790</v>
      </c>
      <c r="K3025" t="s">
        <v>27</v>
      </c>
      <c r="L3025" t="b">
        <v>1</v>
      </c>
      <c r="M3025" t="s">
        <v>14598</v>
      </c>
      <c r="N3025" t="str">
        <f>"512/.5"</f>
        <v>512/.5</v>
      </c>
      <c r="O3025" t="s">
        <v>13241</v>
      </c>
      <c r="P3025" t="b">
        <v>0</v>
      </c>
      <c r="R3025" t="str">
        <f>"9783110179637"</f>
        <v>9783110179637</v>
      </c>
      <c r="S3025" t="str">
        <f>"9783110200041"</f>
        <v>9783110200041</v>
      </c>
      <c r="T3025">
        <v>434593900</v>
      </c>
    </row>
    <row r="3026" spans="1:20" x14ac:dyDescent="0.25">
      <c r="A3026">
        <v>210934</v>
      </c>
      <c r="B3026" t="s">
        <v>14599</v>
      </c>
      <c r="D3026" t="s">
        <v>1364</v>
      </c>
      <c r="E3026" t="s">
        <v>1364</v>
      </c>
      <c r="F3026">
        <v>2003</v>
      </c>
      <c r="G3026" t="s">
        <v>109</v>
      </c>
      <c r="H3026" t="s">
        <v>14600</v>
      </c>
      <c r="I3026" t="s">
        <v>14601</v>
      </c>
      <c r="J3026" t="s">
        <v>7790</v>
      </c>
      <c r="K3026" t="s">
        <v>27</v>
      </c>
      <c r="L3026" t="b">
        <v>1</v>
      </c>
      <c r="M3026" t="s">
        <v>14602</v>
      </c>
      <c r="N3026" t="str">
        <f>"526/.1"</f>
        <v>526/.1</v>
      </c>
      <c r="O3026" t="s">
        <v>13241</v>
      </c>
      <c r="P3026" t="b">
        <v>0</v>
      </c>
      <c r="R3026" t="str">
        <f>"9783110175455"</f>
        <v>9783110175455</v>
      </c>
      <c r="S3026" t="str">
        <f>"9783110198171"</f>
        <v>9783110198171</v>
      </c>
      <c r="T3026">
        <v>434077773</v>
      </c>
    </row>
    <row r="3027" spans="1:20" x14ac:dyDescent="0.25">
      <c r="A3027">
        <v>210927</v>
      </c>
      <c r="B3027" t="s">
        <v>14603</v>
      </c>
      <c r="D3027" t="s">
        <v>1364</v>
      </c>
      <c r="E3027" t="s">
        <v>2275</v>
      </c>
      <c r="F3027">
        <v>2007</v>
      </c>
      <c r="G3027" t="s">
        <v>100</v>
      </c>
      <c r="H3027" t="s">
        <v>14604</v>
      </c>
      <c r="I3027" t="s">
        <v>14605</v>
      </c>
      <c r="J3027" t="s">
        <v>26</v>
      </c>
      <c r="K3027" t="s">
        <v>27</v>
      </c>
      <c r="L3027" t="b">
        <v>1</v>
      </c>
      <c r="M3027" t="s">
        <v>14606</v>
      </c>
      <c r="N3027" t="str">
        <f>"306.44"</f>
        <v>306.44</v>
      </c>
      <c r="O3027" t="s">
        <v>14607</v>
      </c>
      <c r="P3027" t="b">
        <v>0</v>
      </c>
      <c r="R3027" t="str">
        <f>"9783110170498"</f>
        <v>9783110170498</v>
      </c>
      <c r="S3027" t="str">
        <f>"9783110197129"</f>
        <v>9783110197129</v>
      </c>
      <c r="T3027">
        <v>433134121</v>
      </c>
    </row>
    <row r="3028" spans="1:20" x14ac:dyDescent="0.25">
      <c r="A3028">
        <v>209689</v>
      </c>
      <c r="B3028" t="s">
        <v>14608</v>
      </c>
      <c r="C3028" t="s">
        <v>14609</v>
      </c>
      <c r="D3028" t="s">
        <v>10883</v>
      </c>
      <c r="E3028" t="s">
        <v>10884</v>
      </c>
      <c r="F3028">
        <v>2005</v>
      </c>
      <c r="G3028" t="s">
        <v>10048</v>
      </c>
      <c r="H3028" t="s">
        <v>14610</v>
      </c>
      <c r="I3028" t="s">
        <v>10050</v>
      </c>
      <c r="J3028" t="s">
        <v>26</v>
      </c>
      <c r="K3028" t="s">
        <v>27</v>
      </c>
      <c r="L3028" t="b">
        <v>1</v>
      </c>
      <c r="M3028" t="s">
        <v>14611</v>
      </c>
      <c r="N3028" t="str">
        <f>"616.89/5"</f>
        <v>616.89/5</v>
      </c>
      <c r="P3028" t="b">
        <v>0</v>
      </c>
      <c r="R3028" t="str">
        <f>"9780937004135"</f>
        <v>9780937004135</v>
      </c>
      <c r="S3028" t="str">
        <f>"9781435607965"</f>
        <v>9781435607965</v>
      </c>
      <c r="T3028">
        <v>181349707</v>
      </c>
    </row>
    <row r="3029" spans="1:20" x14ac:dyDescent="0.25">
      <c r="A3029">
        <v>207959</v>
      </c>
      <c r="B3029" t="s">
        <v>14612</v>
      </c>
      <c r="C3029" t="s">
        <v>14613</v>
      </c>
      <c r="D3029" t="s">
        <v>1364</v>
      </c>
      <c r="E3029" t="s">
        <v>1364</v>
      </c>
      <c r="F3029">
        <v>2003</v>
      </c>
      <c r="G3029" t="s">
        <v>100</v>
      </c>
      <c r="H3029" t="s">
        <v>14614</v>
      </c>
      <c r="I3029" t="s">
        <v>14615</v>
      </c>
      <c r="J3029" t="s">
        <v>7790</v>
      </c>
      <c r="K3029" t="s">
        <v>27</v>
      </c>
      <c r="L3029" t="b">
        <v>1</v>
      </c>
      <c r="M3029" t="s">
        <v>14616</v>
      </c>
      <c r="N3029" t="str">
        <f>"415"</f>
        <v>415</v>
      </c>
      <c r="O3029" t="s">
        <v>14617</v>
      </c>
      <c r="P3029" t="b">
        <v>0</v>
      </c>
      <c r="R3029" t="str">
        <f>"9783110178838"</f>
        <v>9783110178838</v>
      </c>
      <c r="S3029" t="str">
        <f>"9783110201956"</f>
        <v>9783110201956</v>
      </c>
      <c r="T3029">
        <v>212379759</v>
      </c>
    </row>
    <row r="3030" spans="1:20" x14ac:dyDescent="0.25">
      <c r="A3030">
        <v>207956</v>
      </c>
      <c r="B3030" t="s">
        <v>14618</v>
      </c>
      <c r="D3030" t="s">
        <v>1364</v>
      </c>
      <c r="E3030" t="s">
        <v>1364</v>
      </c>
      <c r="F3030">
        <v>2003</v>
      </c>
      <c r="G3030" t="s">
        <v>197</v>
      </c>
      <c r="H3030" t="s">
        <v>14619</v>
      </c>
      <c r="I3030" t="s">
        <v>14620</v>
      </c>
      <c r="J3030" t="s">
        <v>7790</v>
      </c>
      <c r="K3030" t="s">
        <v>27</v>
      </c>
      <c r="L3030" t="b">
        <v>1</v>
      </c>
      <c r="M3030" t="s">
        <v>14621</v>
      </c>
      <c r="N3030" t="str">
        <f>"840.9/004"</f>
        <v>840.9/004</v>
      </c>
      <c r="P3030" t="b">
        <v>0</v>
      </c>
      <c r="R3030" t="str">
        <f>"9783110178272"</f>
        <v>9783110178272</v>
      </c>
      <c r="S3030" t="str">
        <f>"9783110201734"</f>
        <v>9783110201734</v>
      </c>
      <c r="T3030">
        <v>174570897</v>
      </c>
    </row>
    <row r="3031" spans="1:20" x14ac:dyDescent="0.25">
      <c r="A3031">
        <v>207955</v>
      </c>
      <c r="B3031" t="s">
        <v>14622</v>
      </c>
      <c r="C3031" t="s">
        <v>14623</v>
      </c>
      <c r="D3031" t="s">
        <v>1364</v>
      </c>
      <c r="E3031" t="s">
        <v>1364</v>
      </c>
      <c r="F3031">
        <v>2003</v>
      </c>
      <c r="G3031" t="s">
        <v>197</v>
      </c>
      <c r="H3031" t="s">
        <v>14624</v>
      </c>
      <c r="I3031" t="s">
        <v>14625</v>
      </c>
      <c r="J3031" t="s">
        <v>7790</v>
      </c>
      <c r="K3031" t="s">
        <v>27</v>
      </c>
      <c r="L3031" t="b">
        <v>1</v>
      </c>
      <c r="M3031" t="s">
        <v>14626</v>
      </c>
      <c r="N3031" t="str">
        <f>"830.9/9431/09049"</f>
        <v>830.9/9431/09049</v>
      </c>
      <c r="P3031" t="b">
        <v>0</v>
      </c>
      <c r="R3031" t="str">
        <f>"9783110177756"</f>
        <v>9783110177756</v>
      </c>
      <c r="S3031" t="str">
        <f>"9783110201635"</f>
        <v>9783110201635</v>
      </c>
      <c r="T3031">
        <v>174964561</v>
      </c>
    </row>
    <row r="3032" spans="1:20" x14ac:dyDescent="0.25">
      <c r="A3032">
        <v>207951</v>
      </c>
      <c r="B3032" t="s">
        <v>14627</v>
      </c>
      <c r="C3032" t="s">
        <v>14628</v>
      </c>
      <c r="D3032" t="s">
        <v>1364</v>
      </c>
      <c r="E3032" t="s">
        <v>1364</v>
      </c>
      <c r="F3032">
        <v>2003</v>
      </c>
      <c r="G3032" t="s">
        <v>100</v>
      </c>
      <c r="H3032" t="s">
        <v>14629</v>
      </c>
      <c r="I3032" t="s">
        <v>14630</v>
      </c>
      <c r="J3032" t="s">
        <v>7790</v>
      </c>
      <c r="K3032" t="s">
        <v>27</v>
      </c>
      <c r="L3032" t="b">
        <v>1</v>
      </c>
      <c r="M3032" t="s">
        <v>14631</v>
      </c>
      <c r="N3032" t="str">
        <f>"437"</f>
        <v>437</v>
      </c>
      <c r="O3032" t="s">
        <v>14632</v>
      </c>
      <c r="P3032" t="b">
        <v>0</v>
      </c>
      <c r="R3032" t="str">
        <f>"9783110174977"</f>
        <v>9783110174977</v>
      </c>
      <c r="S3032" t="str">
        <f>"9783110201574"</f>
        <v>9783110201574</v>
      </c>
      <c r="T3032">
        <v>174516366</v>
      </c>
    </row>
    <row r="3033" spans="1:20" x14ac:dyDescent="0.25">
      <c r="A3033">
        <v>207948</v>
      </c>
      <c r="B3033" t="s">
        <v>14633</v>
      </c>
      <c r="C3033" t="s">
        <v>14634</v>
      </c>
      <c r="D3033" t="s">
        <v>1364</v>
      </c>
      <c r="E3033" t="s">
        <v>1364</v>
      </c>
      <c r="F3033">
        <v>2003</v>
      </c>
      <c r="G3033" t="s">
        <v>100</v>
      </c>
      <c r="H3033" t="s">
        <v>14635</v>
      </c>
      <c r="J3033" t="s">
        <v>7790</v>
      </c>
      <c r="K3033" t="s">
        <v>27</v>
      </c>
      <c r="L3033" t="b">
        <v>1</v>
      </c>
      <c r="M3033" t="s">
        <v>14636</v>
      </c>
      <c r="N3033" t="str">
        <f>"831.1"</f>
        <v>831.1</v>
      </c>
      <c r="O3033" t="s">
        <v>14632</v>
      </c>
      <c r="P3033" t="b">
        <v>0</v>
      </c>
      <c r="R3033" t="str">
        <f>"9783110174465"</f>
        <v>9783110174465</v>
      </c>
      <c r="S3033" t="str">
        <f>"9783110201604"</f>
        <v>9783110201604</v>
      </c>
      <c r="T3033">
        <v>174515028</v>
      </c>
    </row>
    <row r="3034" spans="1:20" x14ac:dyDescent="0.25">
      <c r="A3034">
        <v>202705</v>
      </c>
      <c r="B3034" t="s">
        <v>14637</v>
      </c>
      <c r="D3034" t="s">
        <v>4505</v>
      </c>
      <c r="E3034" t="s">
        <v>4506</v>
      </c>
      <c r="F3034">
        <v>2006</v>
      </c>
      <c r="G3034" t="s">
        <v>4895</v>
      </c>
      <c r="H3034" t="s">
        <v>14638</v>
      </c>
      <c r="J3034" t="s">
        <v>26</v>
      </c>
      <c r="K3034" t="s">
        <v>27</v>
      </c>
      <c r="L3034" t="b">
        <v>1</v>
      </c>
      <c r="M3034" t="s">
        <v>14639</v>
      </c>
      <c r="N3034" t="str">
        <f>"225.4/86"</f>
        <v>225.4/86</v>
      </c>
      <c r="O3034" t="s">
        <v>14640</v>
      </c>
      <c r="P3034" t="b">
        <v>0</v>
      </c>
      <c r="R3034" t="str">
        <f>"9789004150324"</f>
        <v>9789004150324</v>
      </c>
      <c r="S3034" t="str">
        <f>"9789047409175"</f>
        <v>9789047409175</v>
      </c>
      <c r="T3034">
        <v>568171834</v>
      </c>
    </row>
    <row r="3035" spans="1:20" x14ac:dyDescent="0.25">
      <c r="A3035">
        <v>202055</v>
      </c>
      <c r="B3035" t="s">
        <v>14641</v>
      </c>
      <c r="C3035" t="s">
        <v>14642</v>
      </c>
      <c r="D3035" t="s">
        <v>10161</v>
      </c>
      <c r="E3035" t="s">
        <v>10161</v>
      </c>
      <c r="F3035">
        <v>2001</v>
      </c>
      <c r="G3035" t="s">
        <v>6747</v>
      </c>
      <c r="H3035" t="s">
        <v>14643</v>
      </c>
      <c r="I3035" t="s">
        <v>14644</v>
      </c>
      <c r="J3035" t="s">
        <v>512</v>
      </c>
      <c r="K3035" t="s">
        <v>27</v>
      </c>
      <c r="L3035" t="b">
        <v>1</v>
      </c>
      <c r="M3035" t="s">
        <v>14645</v>
      </c>
      <c r="N3035" t="str">
        <f>"344.7"</f>
        <v>344.7</v>
      </c>
      <c r="P3035" t="b">
        <v>0</v>
      </c>
      <c r="R3035" t="str">
        <f>"9780889369405"</f>
        <v>9780889369405</v>
      </c>
      <c r="S3035" t="str">
        <f>"9781552503263"</f>
        <v>9781552503263</v>
      </c>
      <c r="T3035">
        <v>174966868</v>
      </c>
    </row>
    <row r="3036" spans="1:20" x14ac:dyDescent="0.25">
      <c r="A3036">
        <v>202054</v>
      </c>
      <c r="B3036" t="s">
        <v>14646</v>
      </c>
      <c r="C3036" t="s">
        <v>14647</v>
      </c>
      <c r="D3036" t="s">
        <v>10161</v>
      </c>
      <c r="E3036" t="s">
        <v>10161</v>
      </c>
      <c r="F3036">
        <v>2001</v>
      </c>
      <c r="G3036" t="s">
        <v>9412</v>
      </c>
      <c r="H3036" t="s">
        <v>14648</v>
      </c>
      <c r="I3036" t="s">
        <v>14649</v>
      </c>
      <c r="J3036" t="s">
        <v>503</v>
      </c>
      <c r="K3036" t="s">
        <v>27</v>
      </c>
      <c r="L3036" t="b">
        <v>1</v>
      </c>
      <c r="M3036" t="s">
        <v>14650</v>
      </c>
      <c r="N3036" t="str">
        <f>"363.72/8/096"</f>
        <v>363.72/8/096</v>
      </c>
      <c r="P3036" t="b">
        <v>0</v>
      </c>
      <c r="R3036" t="str">
        <f>"9780889369276"</f>
        <v>9780889369276</v>
      </c>
      <c r="S3036" t="str">
        <f>"9781552503256"</f>
        <v>9781552503256</v>
      </c>
      <c r="T3036">
        <v>174965497</v>
      </c>
    </row>
    <row r="3037" spans="1:20" x14ac:dyDescent="0.25">
      <c r="A3037">
        <v>201893</v>
      </c>
      <c r="B3037" t="s">
        <v>14651</v>
      </c>
      <c r="C3037" t="s">
        <v>14652</v>
      </c>
      <c r="D3037" t="s">
        <v>12141</v>
      </c>
      <c r="E3037" t="s">
        <v>12141</v>
      </c>
      <c r="F3037">
        <v>2010</v>
      </c>
      <c r="G3037" t="s">
        <v>14653</v>
      </c>
      <c r="H3037" t="s">
        <v>14654</v>
      </c>
      <c r="I3037" t="s">
        <v>14655</v>
      </c>
      <c r="J3037" t="s">
        <v>26</v>
      </c>
      <c r="K3037" t="s">
        <v>27</v>
      </c>
      <c r="L3037" t="b">
        <v>1</v>
      </c>
      <c r="M3037" t="s">
        <v>12144</v>
      </c>
      <c r="N3037" t="str">
        <f>"331.702"</f>
        <v>331.702</v>
      </c>
      <c r="O3037" t="s">
        <v>12145</v>
      </c>
      <c r="P3037" t="b">
        <v>0</v>
      </c>
      <c r="R3037" t="str">
        <f>"9781585113156"</f>
        <v>9781585113156</v>
      </c>
      <c r="S3037" t="str">
        <f>"9781441640727"</f>
        <v>9781441640727</v>
      </c>
      <c r="T3037">
        <v>574560197</v>
      </c>
    </row>
    <row r="3038" spans="1:20" x14ac:dyDescent="0.25">
      <c r="A3038">
        <v>201889</v>
      </c>
      <c r="B3038" t="s">
        <v>14656</v>
      </c>
      <c r="D3038" t="s">
        <v>12141</v>
      </c>
      <c r="E3038" t="s">
        <v>12141</v>
      </c>
      <c r="F3038">
        <v>2007</v>
      </c>
      <c r="G3038" t="s">
        <v>11488</v>
      </c>
      <c r="H3038" t="s">
        <v>14657</v>
      </c>
      <c r="I3038" t="s">
        <v>14658</v>
      </c>
      <c r="J3038" t="s">
        <v>26</v>
      </c>
      <c r="K3038" t="s">
        <v>27</v>
      </c>
      <c r="L3038" t="b">
        <v>1</v>
      </c>
      <c r="M3038" t="s">
        <v>12144</v>
      </c>
      <c r="N3038" t="str">
        <f>"625.10023"</f>
        <v>625.10023</v>
      </c>
      <c r="O3038" t="s">
        <v>12145</v>
      </c>
      <c r="P3038" t="b">
        <v>0</v>
      </c>
      <c r="R3038" t="str">
        <f>"9781585112388"</f>
        <v>9781585112388</v>
      </c>
      <c r="S3038" t="str">
        <f>"9781435603707"</f>
        <v>9781435603707</v>
      </c>
      <c r="T3038">
        <v>181088343</v>
      </c>
    </row>
    <row r="3039" spans="1:20" x14ac:dyDescent="0.25">
      <c r="A3039">
        <v>201888</v>
      </c>
      <c r="B3039" t="s">
        <v>14659</v>
      </c>
      <c r="C3039" t="s">
        <v>14660</v>
      </c>
      <c r="D3039" t="s">
        <v>12141</v>
      </c>
      <c r="E3039" t="s">
        <v>12141</v>
      </c>
      <c r="F3039">
        <v>2007</v>
      </c>
      <c r="G3039" t="s">
        <v>7345</v>
      </c>
      <c r="H3039" t="s">
        <v>14661</v>
      </c>
      <c r="I3039" t="s">
        <v>14662</v>
      </c>
      <c r="J3039" t="s">
        <v>26</v>
      </c>
      <c r="K3039" t="s">
        <v>27</v>
      </c>
      <c r="L3039" t="b">
        <v>1</v>
      </c>
      <c r="M3039" t="s">
        <v>12144</v>
      </c>
      <c r="N3039" t="str">
        <f>"629.1023"</f>
        <v>629.1023</v>
      </c>
      <c r="O3039" t="s">
        <v>12145</v>
      </c>
      <c r="P3039" t="b">
        <v>0</v>
      </c>
      <c r="R3039" t="str">
        <f>"9781585111626"</f>
        <v>9781585111626</v>
      </c>
      <c r="S3039" t="str">
        <f>"9781435603677"</f>
        <v>9781435603677</v>
      </c>
      <c r="T3039">
        <v>181088266</v>
      </c>
    </row>
    <row r="3040" spans="1:20" x14ac:dyDescent="0.25">
      <c r="A3040">
        <v>201887</v>
      </c>
      <c r="B3040" t="s">
        <v>14663</v>
      </c>
      <c r="C3040" t="s">
        <v>14664</v>
      </c>
      <c r="D3040" t="s">
        <v>12141</v>
      </c>
      <c r="E3040" t="s">
        <v>12141</v>
      </c>
      <c r="F3040">
        <v>2006</v>
      </c>
      <c r="G3040" t="s">
        <v>6872</v>
      </c>
      <c r="H3040" t="s">
        <v>14665</v>
      </c>
      <c r="I3040" t="s">
        <v>14666</v>
      </c>
      <c r="J3040" t="s">
        <v>26</v>
      </c>
      <c r="K3040" t="s">
        <v>27</v>
      </c>
      <c r="L3040" t="b">
        <v>1</v>
      </c>
      <c r="M3040" t="s">
        <v>12144</v>
      </c>
      <c r="N3040" t="str">
        <f>"530.023"</f>
        <v>530.023</v>
      </c>
      <c r="O3040" t="s">
        <v>12145</v>
      </c>
      <c r="P3040" t="b">
        <v>0</v>
      </c>
      <c r="R3040" t="str">
        <f>"9781585111435"</f>
        <v>9781585111435</v>
      </c>
      <c r="S3040" t="str">
        <f>"9781435603622"</f>
        <v>9781435603622</v>
      </c>
      <c r="T3040">
        <v>181088179</v>
      </c>
    </row>
    <row r="3041" spans="1:20" x14ac:dyDescent="0.25">
      <c r="A3041">
        <v>201886</v>
      </c>
      <c r="B3041" t="s">
        <v>14667</v>
      </c>
      <c r="C3041" t="s">
        <v>14668</v>
      </c>
      <c r="D3041" t="s">
        <v>12141</v>
      </c>
      <c r="E3041" t="s">
        <v>12141</v>
      </c>
      <c r="F3041">
        <v>2007</v>
      </c>
      <c r="G3041" t="s">
        <v>8789</v>
      </c>
      <c r="H3041" t="s">
        <v>14669</v>
      </c>
      <c r="I3041" t="s">
        <v>14670</v>
      </c>
      <c r="J3041" t="s">
        <v>26</v>
      </c>
      <c r="K3041" t="s">
        <v>27</v>
      </c>
      <c r="L3041" t="b">
        <v>1</v>
      </c>
      <c r="M3041" t="s">
        <v>12144</v>
      </c>
      <c r="N3041" t="str">
        <f>"616.89023"</f>
        <v>616.89023</v>
      </c>
      <c r="O3041" t="s">
        <v>12145</v>
      </c>
      <c r="P3041" t="b">
        <v>0</v>
      </c>
      <c r="R3041" t="str">
        <f>"9781585111169"</f>
        <v>9781585111169</v>
      </c>
      <c r="S3041" t="str">
        <f>"9781435603639"</f>
        <v>9781435603639</v>
      </c>
      <c r="T3041">
        <v>181088790</v>
      </c>
    </row>
    <row r="3042" spans="1:20" x14ac:dyDescent="0.25">
      <c r="A3042">
        <v>201885</v>
      </c>
      <c r="B3042" t="s">
        <v>14671</v>
      </c>
      <c r="C3042" t="s">
        <v>14672</v>
      </c>
      <c r="D3042" t="s">
        <v>12141</v>
      </c>
      <c r="E3042" t="s">
        <v>12141</v>
      </c>
      <c r="F3042">
        <v>2007</v>
      </c>
      <c r="G3042" t="s">
        <v>14673</v>
      </c>
      <c r="H3042" t="s">
        <v>14674</v>
      </c>
      <c r="I3042" t="s">
        <v>14675</v>
      </c>
      <c r="J3042" t="s">
        <v>26</v>
      </c>
      <c r="K3042" t="s">
        <v>27</v>
      </c>
      <c r="L3042" t="b">
        <v>1</v>
      </c>
      <c r="M3042" t="s">
        <v>12144</v>
      </c>
      <c r="N3042" t="str">
        <f>"615.8515023"</f>
        <v>615.8515023</v>
      </c>
      <c r="O3042" t="s">
        <v>12145</v>
      </c>
      <c r="P3042" t="b">
        <v>0</v>
      </c>
      <c r="R3042" t="str">
        <f>"9781585111091"</f>
        <v>9781585111091</v>
      </c>
      <c r="S3042" t="str">
        <f>"9781435603691"</f>
        <v>9781435603691</v>
      </c>
      <c r="T3042">
        <v>181088630</v>
      </c>
    </row>
    <row r="3043" spans="1:20" x14ac:dyDescent="0.25">
      <c r="A3043">
        <v>201880</v>
      </c>
      <c r="B3043" t="s">
        <v>14676</v>
      </c>
      <c r="C3043" t="s">
        <v>14677</v>
      </c>
      <c r="D3043" t="s">
        <v>12141</v>
      </c>
      <c r="E3043" t="s">
        <v>12141</v>
      </c>
      <c r="F3043">
        <v>2007</v>
      </c>
      <c r="G3043" t="s">
        <v>14678</v>
      </c>
      <c r="H3043" t="s">
        <v>14679</v>
      </c>
      <c r="I3043" t="s">
        <v>14680</v>
      </c>
      <c r="J3043" t="s">
        <v>26</v>
      </c>
      <c r="K3043" t="s">
        <v>27</v>
      </c>
      <c r="L3043" t="b">
        <v>1</v>
      </c>
      <c r="M3043" t="s">
        <v>12144</v>
      </c>
      <c r="N3043" t="str">
        <f>"617.75/023"</f>
        <v>617.75/023</v>
      </c>
      <c r="O3043" t="s">
        <v>12145</v>
      </c>
      <c r="P3043" t="b">
        <v>0</v>
      </c>
      <c r="R3043" t="str">
        <f>"9781585110278"</f>
        <v>9781585110278</v>
      </c>
      <c r="S3043" t="str">
        <f>"9781435603660"</f>
        <v>9781435603660</v>
      </c>
      <c r="T3043">
        <v>180188008</v>
      </c>
    </row>
    <row r="3044" spans="1:20" x14ac:dyDescent="0.25">
      <c r="A3044">
        <v>199968</v>
      </c>
      <c r="B3044" t="s">
        <v>14681</v>
      </c>
      <c r="D3044" t="s">
        <v>6269</v>
      </c>
      <c r="E3044" t="s">
        <v>14381</v>
      </c>
      <c r="F3044">
        <v>2007</v>
      </c>
      <c r="G3044" t="s">
        <v>535</v>
      </c>
      <c r="H3044" t="s">
        <v>14682</v>
      </c>
      <c r="I3044" t="s">
        <v>14683</v>
      </c>
      <c r="J3044" t="s">
        <v>26</v>
      </c>
      <c r="K3044" t="s">
        <v>27</v>
      </c>
      <c r="L3044" t="b">
        <v>1</v>
      </c>
      <c r="M3044" t="s">
        <v>14684</v>
      </c>
      <c r="N3044" t="str">
        <f>"519.5"</f>
        <v>519.5</v>
      </c>
      <c r="P3044" t="b">
        <v>0</v>
      </c>
      <c r="R3044" t="str">
        <f>"9781599943756"</f>
        <v>9781599943756</v>
      </c>
      <c r="S3044" t="str">
        <f>"9781599944289"</f>
        <v>9781599944289</v>
      </c>
      <c r="T3044">
        <v>166428834</v>
      </c>
    </row>
    <row r="3045" spans="1:20" x14ac:dyDescent="0.25">
      <c r="A3045">
        <v>199732</v>
      </c>
      <c r="B3045" t="s">
        <v>14685</v>
      </c>
      <c r="D3045" t="s">
        <v>2238</v>
      </c>
      <c r="E3045" t="s">
        <v>2239</v>
      </c>
      <c r="F3045">
        <v>2007</v>
      </c>
      <c r="G3045" t="s">
        <v>182</v>
      </c>
      <c r="H3045" t="s">
        <v>14686</v>
      </c>
      <c r="J3045" t="s">
        <v>26</v>
      </c>
      <c r="K3045" t="s">
        <v>86</v>
      </c>
      <c r="L3045" t="b">
        <v>1</v>
      </c>
      <c r="M3045" t="s">
        <v>14687</v>
      </c>
      <c r="N3045" t="str">
        <f>"911/.8"</f>
        <v>911/.8</v>
      </c>
      <c r="P3045" t="b">
        <v>0</v>
      </c>
      <c r="R3045" t="str">
        <f>"9780765615978"</f>
        <v>9780765615978</v>
      </c>
      <c r="S3045" t="str">
        <f>"9780765622150"</f>
        <v>9780765622150</v>
      </c>
      <c r="T3045">
        <v>169863931</v>
      </c>
    </row>
    <row r="3046" spans="1:20" x14ac:dyDescent="0.25">
      <c r="A3046">
        <v>199511</v>
      </c>
      <c r="B3046" t="s">
        <v>14688</v>
      </c>
      <c r="C3046" t="s">
        <v>14689</v>
      </c>
      <c r="D3046" t="s">
        <v>10161</v>
      </c>
      <c r="E3046" t="s">
        <v>10161</v>
      </c>
      <c r="F3046">
        <v>1996</v>
      </c>
      <c r="G3046" t="s">
        <v>5884</v>
      </c>
      <c r="H3046" t="s">
        <v>14690</v>
      </c>
      <c r="I3046" t="s">
        <v>14691</v>
      </c>
      <c r="J3046" t="s">
        <v>26</v>
      </c>
      <c r="K3046" t="s">
        <v>27</v>
      </c>
      <c r="L3046" t="b">
        <v>1</v>
      </c>
      <c r="M3046" t="s">
        <v>14692</v>
      </c>
      <c r="N3046" t="str">
        <f>"614.5/32"</f>
        <v>614.5/32</v>
      </c>
      <c r="P3046" t="b">
        <v>0</v>
      </c>
      <c r="R3046" t="str">
        <f>"9780889367920"</f>
        <v>9780889367920</v>
      </c>
      <c r="S3046" t="str">
        <f>"9781552503058"</f>
        <v>9781552503058</v>
      </c>
      <c r="T3046">
        <v>174053382</v>
      </c>
    </row>
    <row r="3047" spans="1:20" x14ac:dyDescent="0.25">
      <c r="A3047">
        <v>199506</v>
      </c>
      <c r="B3047" t="s">
        <v>14693</v>
      </c>
      <c r="C3047" t="s">
        <v>14694</v>
      </c>
      <c r="D3047" t="s">
        <v>10161</v>
      </c>
      <c r="E3047" t="s">
        <v>10161</v>
      </c>
      <c r="F3047">
        <v>2001</v>
      </c>
      <c r="G3047" t="s">
        <v>4304</v>
      </c>
      <c r="H3047" t="s">
        <v>14695</v>
      </c>
      <c r="I3047" t="s">
        <v>14696</v>
      </c>
      <c r="J3047" t="s">
        <v>503</v>
      </c>
      <c r="K3047" t="s">
        <v>27</v>
      </c>
      <c r="L3047" t="b">
        <v>1</v>
      </c>
      <c r="M3047" t="s">
        <v>14697</v>
      </c>
      <c r="N3047" t="str">
        <f>"362.1/07/201724"</f>
        <v>362.1/07/201724</v>
      </c>
      <c r="P3047" t="b">
        <v>0</v>
      </c>
      <c r="R3047" t="str">
        <f>"9780889369542"</f>
        <v>9780889369542</v>
      </c>
      <c r="S3047" t="str">
        <f>"9781552503669"</f>
        <v>9781552503669</v>
      </c>
      <c r="T3047">
        <v>244967388</v>
      </c>
    </row>
    <row r="3048" spans="1:20" x14ac:dyDescent="0.25">
      <c r="A3048">
        <v>199476</v>
      </c>
      <c r="B3048" t="s">
        <v>14698</v>
      </c>
      <c r="D3048" t="s">
        <v>10161</v>
      </c>
      <c r="E3048" t="s">
        <v>10161</v>
      </c>
      <c r="F3048">
        <v>2000</v>
      </c>
      <c r="G3048" t="s">
        <v>6371</v>
      </c>
      <c r="H3048" t="s">
        <v>14699</v>
      </c>
      <c r="I3048" t="s">
        <v>14700</v>
      </c>
      <c r="J3048" t="s">
        <v>26</v>
      </c>
      <c r="K3048" t="s">
        <v>27</v>
      </c>
      <c r="L3048" t="b">
        <v>1</v>
      </c>
      <c r="M3048" t="s">
        <v>14701</v>
      </c>
      <c r="N3048" t="str">
        <f>"631.5/23"</f>
        <v>631.5/23</v>
      </c>
      <c r="O3048" t="s">
        <v>14698</v>
      </c>
      <c r="P3048" t="b">
        <v>0</v>
      </c>
      <c r="R3048" t="str">
        <f>"9780889369269"</f>
        <v>9780889369269</v>
      </c>
      <c r="S3048" t="str">
        <f>"9781552503164"</f>
        <v>9781552503164</v>
      </c>
      <c r="T3048">
        <v>191803544</v>
      </c>
    </row>
    <row r="3049" spans="1:20" x14ac:dyDescent="0.25">
      <c r="A3049">
        <v>199475</v>
      </c>
      <c r="B3049" t="s">
        <v>14702</v>
      </c>
      <c r="C3049" t="s">
        <v>14703</v>
      </c>
      <c r="D3049" t="s">
        <v>10161</v>
      </c>
      <c r="E3049" t="s">
        <v>10161</v>
      </c>
      <c r="F3049">
        <v>2000</v>
      </c>
      <c r="G3049" t="s">
        <v>4304</v>
      </c>
      <c r="H3049" t="s">
        <v>14704</v>
      </c>
      <c r="I3049" t="s">
        <v>14705</v>
      </c>
      <c r="J3049" t="s">
        <v>26</v>
      </c>
      <c r="K3049" t="s">
        <v>27</v>
      </c>
      <c r="L3049" t="b">
        <v>1</v>
      </c>
      <c r="M3049" t="s">
        <v>14706</v>
      </c>
      <c r="N3049" t="str">
        <f>"362.1"</f>
        <v>362.1</v>
      </c>
      <c r="P3049" t="b">
        <v>0</v>
      </c>
      <c r="R3049" t="str">
        <f>"9780889369238"</f>
        <v>9780889369238</v>
      </c>
      <c r="S3049" t="str">
        <f>"9781552503119"</f>
        <v>9781552503119</v>
      </c>
      <c r="T3049">
        <v>166423410</v>
      </c>
    </row>
    <row r="3050" spans="1:20" x14ac:dyDescent="0.25">
      <c r="A3050">
        <v>199472</v>
      </c>
      <c r="B3050" t="s">
        <v>14707</v>
      </c>
      <c r="D3050" t="s">
        <v>10161</v>
      </c>
      <c r="E3050" t="s">
        <v>10161</v>
      </c>
      <c r="F3050">
        <v>2000</v>
      </c>
      <c r="G3050" t="s">
        <v>13732</v>
      </c>
      <c r="H3050" t="s">
        <v>14708</v>
      </c>
      <c r="I3050" t="s">
        <v>14709</v>
      </c>
      <c r="J3050" t="s">
        <v>26</v>
      </c>
      <c r="K3050" t="s">
        <v>27</v>
      </c>
      <c r="L3050" t="b">
        <v>1</v>
      </c>
      <c r="M3050" t="s">
        <v>14710</v>
      </c>
      <c r="N3050" t="str">
        <f>"338.983"</f>
        <v>338.983</v>
      </c>
      <c r="P3050" t="b">
        <v>0</v>
      </c>
      <c r="R3050" t="str">
        <f>"9780889369115"</f>
        <v>9780889369115</v>
      </c>
      <c r="S3050" t="str">
        <f>"9781552503157"</f>
        <v>9781552503157</v>
      </c>
      <c r="T3050">
        <v>166423369</v>
      </c>
    </row>
    <row r="3051" spans="1:20" x14ac:dyDescent="0.25">
      <c r="A3051">
        <v>199451</v>
      </c>
      <c r="B3051" t="s">
        <v>14711</v>
      </c>
      <c r="C3051" t="s">
        <v>14712</v>
      </c>
      <c r="D3051" t="s">
        <v>10161</v>
      </c>
      <c r="E3051" t="s">
        <v>10161</v>
      </c>
      <c r="F3051">
        <v>1997</v>
      </c>
      <c r="G3051" t="s">
        <v>5884</v>
      </c>
      <c r="H3051" t="s">
        <v>14713</v>
      </c>
      <c r="I3051" t="s">
        <v>14691</v>
      </c>
      <c r="J3051" t="s">
        <v>503</v>
      </c>
      <c r="K3051" t="s">
        <v>27</v>
      </c>
      <c r="L3051" t="b">
        <v>1</v>
      </c>
      <c r="M3051" t="s">
        <v>14714</v>
      </c>
      <c r="N3051" t="str">
        <f>"614.5/32"</f>
        <v>614.5/32</v>
      </c>
      <c r="P3051" t="b">
        <v>0</v>
      </c>
      <c r="R3051" t="str">
        <f>"9780889368316"</f>
        <v>9780889368316</v>
      </c>
      <c r="S3051" t="str">
        <f>"9781552503652"</f>
        <v>9781552503652</v>
      </c>
      <c r="T3051">
        <v>166430856</v>
      </c>
    </row>
    <row r="3052" spans="1:20" x14ac:dyDescent="0.25">
      <c r="A3052">
        <v>199450</v>
      </c>
      <c r="B3052" t="s">
        <v>14715</v>
      </c>
      <c r="C3052" t="s">
        <v>14716</v>
      </c>
      <c r="D3052" t="s">
        <v>10161</v>
      </c>
      <c r="E3052" t="s">
        <v>10161</v>
      </c>
      <c r="F3052">
        <v>1999</v>
      </c>
      <c r="G3052" t="s">
        <v>1391</v>
      </c>
      <c r="H3052" t="s">
        <v>14717</v>
      </c>
      <c r="I3052" t="s">
        <v>14718</v>
      </c>
      <c r="J3052" t="s">
        <v>26</v>
      </c>
      <c r="K3052" t="s">
        <v>27</v>
      </c>
      <c r="L3052" t="b">
        <v>1</v>
      </c>
      <c r="M3052" t="s">
        <v>14719</v>
      </c>
      <c r="N3052" t="str">
        <f>"333.8/5"</f>
        <v>333.8/5</v>
      </c>
      <c r="P3052" t="b">
        <v>0</v>
      </c>
      <c r="R3052" t="str">
        <f>"9780889368286"</f>
        <v>9780889368286</v>
      </c>
      <c r="S3052" t="str">
        <f>"9781552503034"</f>
        <v>9781552503034</v>
      </c>
      <c r="T3052">
        <v>166421862</v>
      </c>
    </row>
    <row r="3053" spans="1:20" x14ac:dyDescent="0.25">
      <c r="A3053">
        <v>199448</v>
      </c>
      <c r="B3053" t="s">
        <v>14720</v>
      </c>
      <c r="D3053" t="s">
        <v>10161</v>
      </c>
      <c r="E3053" t="s">
        <v>10161</v>
      </c>
      <c r="F3053">
        <v>1995</v>
      </c>
      <c r="G3053" t="s">
        <v>8311</v>
      </c>
      <c r="H3053" t="s">
        <v>14721</v>
      </c>
      <c r="I3053" t="s">
        <v>14722</v>
      </c>
      <c r="J3053" t="s">
        <v>26</v>
      </c>
      <c r="K3053" t="s">
        <v>27</v>
      </c>
      <c r="L3053" t="b">
        <v>1</v>
      </c>
      <c r="M3053" t="s">
        <v>14723</v>
      </c>
      <c r="N3053" t="str">
        <f>"362.1/082"</f>
        <v>362.1/082</v>
      </c>
      <c r="P3053" t="b">
        <v>0</v>
      </c>
      <c r="R3053" t="str">
        <f>"9780889367739"</f>
        <v>9780889367739</v>
      </c>
      <c r="S3053" t="str">
        <f>"9781552502686"</f>
        <v>9781552502686</v>
      </c>
      <c r="T3053">
        <v>166421789</v>
      </c>
    </row>
    <row r="3054" spans="1:20" x14ac:dyDescent="0.25">
      <c r="A3054">
        <v>199447</v>
      </c>
      <c r="B3054" t="s">
        <v>14724</v>
      </c>
      <c r="C3054" t="s">
        <v>14725</v>
      </c>
      <c r="D3054" t="s">
        <v>10161</v>
      </c>
      <c r="E3054" t="s">
        <v>10161</v>
      </c>
      <c r="F3054">
        <v>1996</v>
      </c>
      <c r="G3054" t="s">
        <v>8311</v>
      </c>
      <c r="H3054" t="s">
        <v>14726</v>
      </c>
      <c r="I3054" t="s">
        <v>14727</v>
      </c>
      <c r="J3054" t="s">
        <v>26</v>
      </c>
      <c r="K3054" t="s">
        <v>27</v>
      </c>
      <c r="L3054" t="b">
        <v>1</v>
      </c>
      <c r="M3054" t="s">
        <v>14728</v>
      </c>
      <c r="N3054" t="str">
        <f>"362.1/082"</f>
        <v>362.1/082</v>
      </c>
      <c r="P3054" t="b">
        <v>0</v>
      </c>
      <c r="R3054" t="str">
        <f>"9780889367722"</f>
        <v>9780889367722</v>
      </c>
      <c r="S3054" t="str">
        <f>"9781552502556"</f>
        <v>9781552502556</v>
      </c>
      <c r="T3054">
        <v>166421519</v>
      </c>
    </row>
    <row r="3055" spans="1:20" x14ac:dyDescent="0.25">
      <c r="A3055">
        <v>198552</v>
      </c>
      <c r="B3055" t="s">
        <v>14729</v>
      </c>
      <c r="C3055" t="s">
        <v>14730</v>
      </c>
      <c r="D3055" t="s">
        <v>9272</v>
      </c>
      <c r="E3055" t="s">
        <v>9273</v>
      </c>
      <c r="F3055">
        <v>2007</v>
      </c>
      <c r="G3055" t="s">
        <v>2097</v>
      </c>
      <c r="H3055" t="s">
        <v>14731</v>
      </c>
      <c r="I3055" t="s">
        <v>14732</v>
      </c>
      <c r="J3055" t="s">
        <v>26</v>
      </c>
      <c r="K3055" t="s">
        <v>27</v>
      </c>
      <c r="L3055" t="b">
        <v>1</v>
      </c>
      <c r="M3055" t="s">
        <v>14733</v>
      </c>
      <c r="N3055" t="str">
        <f>"658.3/82"</f>
        <v>658.3/82</v>
      </c>
      <c r="O3055" t="s">
        <v>14734</v>
      </c>
      <c r="P3055" t="b">
        <v>0</v>
      </c>
      <c r="R3055" t="str">
        <f>"9781854183538"</f>
        <v>9781854183538</v>
      </c>
      <c r="S3055" t="str">
        <f>"9781854184924"</f>
        <v>9781854184924</v>
      </c>
      <c r="T3055">
        <v>166229439</v>
      </c>
    </row>
    <row r="3056" spans="1:20" x14ac:dyDescent="0.25">
      <c r="A3056">
        <v>198232</v>
      </c>
      <c r="B3056" t="s">
        <v>14735</v>
      </c>
      <c r="C3056" t="s">
        <v>14736</v>
      </c>
      <c r="D3056" t="s">
        <v>131</v>
      </c>
      <c r="E3056" t="s">
        <v>2389</v>
      </c>
      <c r="F3056">
        <v>2006</v>
      </c>
      <c r="G3056" t="s">
        <v>638</v>
      </c>
      <c r="H3056" t="s">
        <v>14737</v>
      </c>
      <c r="I3056" t="s">
        <v>14738</v>
      </c>
      <c r="J3056" t="s">
        <v>26</v>
      </c>
      <c r="K3056" t="s">
        <v>86</v>
      </c>
      <c r="L3056" t="b">
        <v>1</v>
      </c>
      <c r="M3056" t="s">
        <v>14739</v>
      </c>
      <c r="N3056" t="str">
        <f>"940.54/1273092"</f>
        <v>940.54/1273092</v>
      </c>
      <c r="O3056" t="s">
        <v>14740</v>
      </c>
      <c r="P3056" t="b">
        <v>0</v>
      </c>
      <c r="R3056" t="str">
        <f>"9780823226757"</f>
        <v>9780823226757</v>
      </c>
      <c r="S3056" t="str">
        <f>"9781429479127"</f>
        <v>9781429479127</v>
      </c>
      <c r="T3056">
        <v>213305704</v>
      </c>
    </row>
    <row r="3057" spans="1:20" x14ac:dyDescent="0.25">
      <c r="A3057">
        <v>198228</v>
      </c>
      <c r="B3057" t="s">
        <v>14741</v>
      </c>
      <c r="C3057" t="s">
        <v>14742</v>
      </c>
      <c r="D3057" t="s">
        <v>131</v>
      </c>
      <c r="E3057" t="s">
        <v>2389</v>
      </c>
      <c r="F3057">
        <v>2006</v>
      </c>
      <c r="G3057" t="s">
        <v>4608</v>
      </c>
      <c r="H3057" t="s">
        <v>14743</v>
      </c>
      <c r="I3057" t="s">
        <v>14744</v>
      </c>
      <c r="J3057" t="s">
        <v>26</v>
      </c>
      <c r="K3057" t="s">
        <v>86</v>
      </c>
      <c r="L3057" t="b">
        <v>1</v>
      </c>
      <c r="M3057" t="s">
        <v>14745</v>
      </c>
      <c r="N3057" t="str">
        <f>"296.3/11"</f>
        <v>296.3/11</v>
      </c>
      <c r="P3057" t="b">
        <v>0</v>
      </c>
      <c r="R3057" t="str">
        <f>"9780823226818"</f>
        <v>9780823226818</v>
      </c>
      <c r="S3057" t="str">
        <f>"9781429479134"</f>
        <v>9781429479134</v>
      </c>
      <c r="T3057">
        <v>156257458</v>
      </c>
    </row>
    <row r="3058" spans="1:20" x14ac:dyDescent="0.25">
      <c r="A3058">
        <v>198217</v>
      </c>
      <c r="B3058" t="s">
        <v>14746</v>
      </c>
      <c r="C3058" t="s">
        <v>14747</v>
      </c>
      <c r="D3058" t="s">
        <v>131</v>
      </c>
      <c r="E3058" t="s">
        <v>2389</v>
      </c>
      <c r="F3058">
        <v>2006</v>
      </c>
      <c r="G3058" t="s">
        <v>14748</v>
      </c>
      <c r="H3058" t="s">
        <v>14749</v>
      </c>
      <c r="I3058" t="s">
        <v>14750</v>
      </c>
      <c r="J3058" t="s">
        <v>26</v>
      </c>
      <c r="K3058" t="s">
        <v>86</v>
      </c>
      <c r="L3058" t="b">
        <v>1</v>
      </c>
      <c r="M3058" t="s">
        <v>14751</v>
      </c>
      <c r="N3058" t="str">
        <f>"207/.5"</f>
        <v>207/.5</v>
      </c>
      <c r="O3058" t="s">
        <v>14752</v>
      </c>
      <c r="P3058" t="b">
        <v>0</v>
      </c>
      <c r="R3058" t="str">
        <f>"9780823226474"</f>
        <v>9780823226474</v>
      </c>
      <c r="S3058" t="str">
        <f>"9781429479073"</f>
        <v>9781429479073</v>
      </c>
      <c r="T3058">
        <v>156194658</v>
      </c>
    </row>
    <row r="3059" spans="1:20" x14ac:dyDescent="0.25">
      <c r="A3059">
        <v>198216</v>
      </c>
      <c r="B3059" t="s">
        <v>14753</v>
      </c>
      <c r="C3059" t="s">
        <v>14754</v>
      </c>
      <c r="D3059" t="s">
        <v>131</v>
      </c>
      <c r="E3059" t="s">
        <v>2389</v>
      </c>
      <c r="F3059">
        <v>2005</v>
      </c>
      <c r="G3059" t="s">
        <v>2536</v>
      </c>
      <c r="H3059" t="s">
        <v>14755</v>
      </c>
      <c r="J3059" t="s">
        <v>26</v>
      </c>
      <c r="K3059" t="s">
        <v>86</v>
      </c>
      <c r="L3059" t="b">
        <v>1</v>
      </c>
      <c r="M3059" t="s">
        <v>14751</v>
      </c>
      <c r="N3059" t="str">
        <f>"230/.2"</f>
        <v>230/.2</v>
      </c>
      <c r="O3059" t="s">
        <v>14756</v>
      </c>
      <c r="P3059" t="b">
        <v>0</v>
      </c>
      <c r="R3059" t="str">
        <f>"9780823225255"</f>
        <v>9780823225255</v>
      </c>
      <c r="S3059" t="str">
        <f>"9781429478885"</f>
        <v>9781429478885</v>
      </c>
      <c r="T3059">
        <v>156191129</v>
      </c>
    </row>
    <row r="3060" spans="1:20" x14ac:dyDescent="0.25">
      <c r="A3060">
        <v>198207</v>
      </c>
      <c r="B3060" t="s">
        <v>14757</v>
      </c>
      <c r="C3060" t="s">
        <v>14758</v>
      </c>
      <c r="D3060" t="s">
        <v>131</v>
      </c>
      <c r="E3060" t="s">
        <v>2389</v>
      </c>
      <c r="F3060">
        <v>2006</v>
      </c>
      <c r="G3060" t="s">
        <v>4477</v>
      </c>
      <c r="H3060" t="s">
        <v>14759</v>
      </c>
      <c r="I3060" t="s">
        <v>14760</v>
      </c>
      <c r="J3060" t="s">
        <v>26</v>
      </c>
      <c r="K3060" t="s">
        <v>86</v>
      </c>
      <c r="L3060" t="b">
        <v>1</v>
      </c>
      <c r="M3060" t="s">
        <v>14761</v>
      </c>
      <c r="N3060" t="str">
        <f>"128/.46"</f>
        <v>128/.46</v>
      </c>
      <c r="O3060" t="s">
        <v>4481</v>
      </c>
      <c r="P3060" t="b">
        <v>0</v>
      </c>
      <c r="R3060" t="str">
        <f>"9780823226351"</f>
        <v>9780823226351</v>
      </c>
      <c r="S3060" t="str">
        <f>"9781429479042"</f>
        <v>9781429479042</v>
      </c>
      <c r="T3060">
        <v>155852926</v>
      </c>
    </row>
    <row r="3061" spans="1:20" x14ac:dyDescent="0.25">
      <c r="A3061">
        <v>198203</v>
      </c>
      <c r="B3061" t="s">
        <v>14762</v>
      </c>
      <c r="D3061" t="s">
        <v>131</v>
      </c>
      <c r="E3061" t="s">
        <v>2389</v>
      </c>
      <c r="F3061">
        <v>2006</v>
      </c>
      <c r="G3061" t="s">
        <v>12121</v>
      </c>
      <c r="H3061" t="s">
        <v>14763</v>
      </c>
      <c r="I3061" t="s">
        <v>14764</v>
      </c>
      <c r="J3061" t="s">
        <v>26</v>
      </c>
      <c r="K3061" t="s">
        <v>86</v>
      </c>
      <c r="L3061" t="b">
        <v>1</v>
      </c>
      <c r="M3061" t="s">
        <v>14765</v>
      </c>
      <c r="N3061" t="str">
        <f>"851/.1"</f>
        <v>851/.1</v>
      </c>
      <c r="P3061" t="b">
        <v>0</v>
      </c>
      <c r="R3061" t="str">
        <f>"9780823227037"</f>
        <v>9780823227037</v>
      </c>
      <c r="S3061" t="str">
        <f>"9781429479189"</f>
        <v>9781429479189</v>
      </c>
      <c r="T3061">
        <v>163210480</v>
      </c>
    </row>
    <row r="3062" spans="1:20" x14ac:dyDescent="0.25">
      <c r="A3062">
        <v>198202</v>
      </c>
      <c r="B3062" t="s">
        <v>14766</v>
      </c>
      <c r="C3062" t="s">
        <v>14767</v>
      </c>
      <c r="D3062" t="s">
        <v>131</v>
      </c>
      <c r="E3062" t="s">
        <v>2389</v>
      </c>
      <c r="F3062">
        <v>2006</v>
      </c>
      <c r="G3062" t="s">
        <v>546</v>
      </c>
      <c r="H3062" t="s">
        <v>14768</v>
      </c>
      <c r="I3062" t="s">
        <v>14769</v>
      </c>
      <c r="J3062" t="s">
        <v>26</v>
      </c>
      <c r="K3062" t="s">
        <v>86</v>
      </c>
      <c r="L3062" t="b">
        <v>1</v>
      </c>
      <c r="M3062" t="s">
        <v>14770</v>
      </c>
      <c r="N3062" t="str">
        <f>"820.9/3245"</f>
        <v>820.9/3245</v>
      </c>
      <c r="P3062" t="b">
        <v>1</v>
      </c>
      <c r="R3062" t="str">
        <f>"9780823226290"</f>
        <v>9780823226290</v>
      </c>
      <c r="S3062" t="str">
        <f>"9781429479028"</f>
        <v>9781429479028</v>
      </c>
      <c r="T3062">
        <v>155852023</v>
      </c>
    </row>
    <row r="3063" spans="1:20" x14ac:dyDescent="0.25">
      <c r="A3063">
        <v>197264</v>
      </c>
      <c r="B3063" t="s">
        <v>14771</v>
      </c>
      <c r="C3063" t="s">
        <v>1501</v>
      </c>
      <c r="D3063" t="s">
        <v>2238</v>
      </c>
      <c r="E3063" t="s">
        <v>2239</v>
      </c>
      <c r="F3063">
        <v>2007</v>
      </c>
      <c r="G3063" t="s">
        <v>182</v>
      </c>
      <c r="H3063" t="s">
        <v>14772</v>
      </c>
      <c r="J3063" t="s">
        <v>26</v>
      </c>
      <c r="K3063" t="s">
        <v>27</v>
      </c>
      <c r="L3063" t="b">
        <v>1</v>
      </c>
      <c r="M3063" t="s">
        <v>14773</v>
      </c>
      <c r="N3063" t="str">
        <f>"956.9144"</f>
        <v>956.9144</v>
      </c>
      <c r="P3063" t="b">
        <v>0</v>
      </c>
      <c r="R3063" t="str">
        <f>"9780415271059"</f>
        <v>9780415271059</v>
      </c>
      <c r="S3063" t="str">
        <f>"9780203939956"</f>
        <v>9780203939956</v>
      </c>
      <c r="T3063">
        <v>163834554</v>
      </c>
    </row>
    <row r="3064" spans="1:20" x14ac:dyDescent="0.25">
      <c r="A3064">
        <v>196124</v>
      </c>
      <c r="B3064" t="s">
        <v>14774</v>
      </c>
      <c r="D3064" t="s">
        <v>14342</v>
      </c>
      <c r="E3064" t="s">
        <v>14775</v>
      </c>
      <c r="F3064">
        <v>2002</v>
      </c>
      <c r="G3064" t="s">
        <v>14776</v>
      </c>
      <c r="H3064" t="s">
        <v>14777</v>
      </c>
      <c r="I3064" t="s">
        <v>14778</v>
      </c>
      <c r="J3064" t="s">
        <v>26</v>
      </c>
      <c r="K3064" t="s">
        <v>27</v>
      </c>
      <c r="L3064" t="b">
        <v>1</v>
      </c>
      <c r="M3064" t="s">
        <v>14779</v>
      </c>
      <c r="N3064" t="str">
        <f>"512/.74"</f>
        <v>512/.74</v>
      </c>
      <c r="P3064" t="b">
        <v>0</v>
      </c>
      <c r="R3064" t="str">
        <f>"9780123392510"</f>
        <v>9780123392510</v>
      </c>
      <c r="S3064" t="str">
        <f>"9780080478777"</f>
        <v>9780080478777</v>
      </c>
      <c r="T3064">
        <v>659549753</v>
      </c>
    </row>
    <row r="3065" spans="1:20" x14ac:dyDescent="0.25">
      <c r="A3065">
        <v>193455</v>
      </c>
      <c r="B3065" t="s">
        <v>14780</v>
      </c>
      <c r="C3065" t="s">
        <v>14781</v>
      </c>
      <c r="D3065" t="s">
        <v>8514</v>
      </c>
      <c r="E3065" t="s">
        <v>8515</v>
      </c>
      <c r="F3065">
        <v>2007</v>
      </c>
      <c r="G3065" t="s">
        <v>9593</v>
      </c>
      <c r="H3065" t="s">
        <v>14782</v>
      </c>
      <c r="I3065" t="s">
        <v>14783</v>
      </c>
      <c r="J3065" t="s">
        <v>26</v>
      </c>
      <c r="K3065" t="s">
        <v>27</v>
      </c>
      <c r="L3065" t="b">
        <v>1</v>
      </c>
      <c r="M3065" t="s">
        <v>14784</v>
      </c>
      <c r="N3065" t="str">
        <f>"537/.2"</f>
        <v>537/.2</v>
      </c>
      <c r="P3065" t="b">
        <v>0</v>
      </c>
      <c r="Q3065" t="b">
        <v>0</v>
      </c>
      <c r="R3065" t="str">
        <f>"9780973291155"</f>
        <v>9780973291155</v>
      </c>
      <c r="S3065" t="str">
        <f>"9781429468183"</f>
        <v>9781429468183</v>
      </c>
      <c r="T3065">
        <v>128326149</v>
      </c>
    </row>
    <row r="3066" spans="1:20" x14ac:dyDescent="0.25">
      <c r="A3066">
        <v>191728</v>
      </c>
      <c r="B3066" t="s">
        <v>14785</v>
      </c>
      <c r="D3066" t="s">
        <v>9272</v>
      </c>
      <c r="E3066" t="s">
        <v>9273</v>
      </c>
      <c r="F3066">
        <v>2006</v>
      </c>
      <c r="G3066" t="s">
        <v>11242</v>
      </c>
      <c r="H3066" t="s">
        <v>14786</v>
      </c>
      <c r="I3066" t="s">
        <v>14732</v>
      </c>
      <c r="J3066" t="s">
        <v>26</v>
      </c>
      <c r="K3066" t="s">
        <v>27</v>
      </c>
      <c r="L3066" t="b">
        <v>1</v>
      </c>
      <c r="M3066" t="s">
        <v>14510</v>
      </c>
      <c r="N3066" t="str">
        <f>"363.11"</f>
        <v>363.11</v>
      </c>
      <c r="P3066" t="b">
        <v>0</v>
      </c>
      <c r="R3066" t="str">
        <f>"9781854183873"</f>
        <v>9781854183873</v>
      </c>
      <c r="S3066" t="str">
        <f>"9781854184320"</f>
        <v>9781854184320</v>
      </c>
      <c r="T3066">
        <v>171224685</v>
      </c>
    </row>
    <row r="3067" spans="1:20" x14ac:dyDescent="0.25">
      <c r="A3067">
        <v>191602</v>
      </c>
      <c r="B3067" t="s">
        <v>14787</v>
      </c>
      <c r="D3067" t="s">
        <v>5828</v>
      </c>
      <c r="E3067" t="s">
        <v>12469</v>
      </c>
      <c r="F3067">
        <v>2007</v>
      </c>
      <c r="G3067" t="s">
        <v>5465</v>
      </c>
      <c r="H3067" t="s">
        <v>14788</v>
      </c>
      <c r="J3067" t="s">
        <v>26</v>
      </c>
      <c r="K3067" t="s">
        <v>27</v>
      </c>
      <c r="L3067" t="b">
        <v>1</v>
      </c>
      <c r="M3067" t="s">
        <v>14789</v>
      </c>
      <c r="N3067" t="str">
        <f>"891.73/3"</f>
        <v>891.73/3</v>
      </c>
      <c r="O3067" t="s">
        <v>8577</v>
      </c>
      <c r="P3067" t="b">
        <v>0</v>
      </c>
      <c r="R3067" t="str">
        <f>"9780199211302"</f>
        <v>9780199211302</v>
      </c>
      <c r="S3067" t="str">
        <f>"9781435699038"</f>
        <v>9781435699038</v>
      </c>
      <c r="T3067">
        <v>252693845</v>
      </c>
    </row>
    <row r="3068" spans="1:20" x14ac:dyDescent="0.25">
      <c r="A3068">
        <v>191206</v>
      </c>
      <c r="B3068" t="s">
        <v>14790</v>
      </c>
      <c r="C3068" t="s">
        <v>14791</v>
      </c>
      <c r="D3068" t="s">
        <v>10161</v>
      </c>
      <c r="E3068" t="s">
        <v>10161</v>
      </c>
      <c r="F3068">
        <v>2001</v>
      </c>
      <c r="G3068" t="s">
        <v>8311</v>
      </c>
      <c r="H3068" t="s">
        <v>14792</v>
      </c>
      <c r="I3068" t="s">
        <v>14793</v>
      </c>
      <c r="J3068" t="s">
        <v>26</v>
      </c>
      <c r="K3068" t="s">
        <v>27</v>
      </c>
      <c r="L3068" t="b">
        <v>1</v>
      </c>
      <c r="M3068" t="s">
        <v>14794</v>
      </c>
      <c r="N3068" t="str">
        <f>"362.1/07/201724"</f>
        <v>362.1/07/201724</v>
      </c>
      <c r="P3068" t="b">
        <v>0</v>
      </c>
      <c r="R3068" t="str">
        <f>"9780889369351"</f>
        <v>9780889369351</v>
      </c>
      <c r="S3068" t="str">
        <f>"9781552502525"</f>
        <v>9781552502525</v>
      </c>
      <c r="T3068">
        <v>144512238</v>
      </c>
    </row>
    <row r="3069" spans="1:20" x14ac:dyDescent="0.25">
      <c r="A3069">
        <v>188283</v>
      </c>
      <c r="B3069" t="s">
        <v>14795</v>
      </c>
      <c r="D3069" t="s">
        <v>203</v>
      </c>
      <c r="E3069" t="s">
        <v>1109</v>
      </c>
      <c r="F3069">
        <v>2007</v>
      </c>
      <c r="G3069" t="s">
        <v>1110</v>
      </c>
      <c r="H3069" t="s">
        <v>14796</v>
      </c>
      <c r="I3069" t="s">
        <v>12689</v>
      </c>
      <c r="J3069" t="s">
        <v>26</v>
      </c>
      <c r="K3069" t="s">
        <v>86</v>
      </c>
      <c r="L3069" t="b">
        <v>1</v>
      </c>
      <c r="M3069" t="s">
        <v>14797</v>
      </c>
      <c r="N3069" t="str">
        <f>"616.89"</f>
        <v>616.89</v>
      </c>
      <c r="P3069" t="b">
        <v>0</v>
      </c>
      <c r="R3069" t="str">
        <f>"9781904671329"</f>
        <v>9781904671329</v>
      </c>
      <c r="S3069" t="str">
        <f>"9781429465120"</f>
        <v>9781429465120</v>
      </c>
      <c r="T3069">
        <v>123423086</v>
      </c>
    </row>
    <row r="3070" spans="1:20" x14ac:dyDescent="0.25">
      <c r="A3070">
        <v>188244</v>
      </c>
      <c r="B3070" t="s">
        <v>14798</v>
      </c>
      <c r="C3070" t="s">
        <v>14799</v>
      </c>
      <c r="D3070" t="s">
        <v>6269</v>
      </c>
      <c r="E3070" t="s">
        <v>14381</v>
      </c>
      <c r="F3070">
        <v>2002</v>
      </c>
      <c r="G3070" t="s">
        <v>14800</v>
      </c>
      <c r="H3070" t="s">
        <v>14801</v>
      </c>
      <c r="I3070" t="s">
        <v>14802</v>
      </c>
      <c r="J3070" t="s">
        <v>26</v>
      </c>
      <c r="K3070" t="s">
        <v>27</v>
      </c>
      <c r="L3070" t="b">
        <v>1</v>
      </c>
      <c r="M3070" t="s">
        <v>14803</v>
      </c>
      <c r="N3070" t="str">
        <f>"005.74"</f>
        <v>005.74</v>
      </c>
      <c r="P3070" t="b">
        <v>0</v>
      </c>
      <c r="R3070" t="str">
        <f>"9781590471159"</f>
        <v>9781590471159</v>
      </c>
      <c r="S3070" t="str">
        <f>"9781599942698"</f>
        <v>9781599942698</v>
      </c>
      <c r="T3070">
        <v>122565330</v>
      </c>
    </row>
    <row r="3071" spans="1:20" x14ac:dyDescent="0.25">
      <c r="A3071">
        <v>187610</v>
      </c>
      <c r="B3071" t="s">
        <v>14804</v>
      </c>
      <c r="D3071" t="s">
        <v>10310</v>
      </c>
      <c r="E3071" t="s">
        <v>10310</v>
      </c>
      <c r="F3071">
        <v>2006</v>
      </c>
      <c r="G3071" t="s">
        <v>14332</v>
      </c>
      <c r="H3071" t="s">
        <v>14805</v>
      </c>
      <c r="I3071" t="s">
        <v>14806</v>
      </c>
      <c r="J3071" t="s">
        <v>26</v>
      </c>
      <c r="K3071" t="s">
        <v>27</v>
      </c>
      <c r="L3071" t="b">
        <v>1</v>
      </c>
      <c r="M3071" t="s">
        <v>14807</v>
      </c>
      <c r="N3071" t="str">
        <f>"362.1/042"</f>
        <v>362.1/042</v>
      </c>
      <c r="P3071" t="b">
        <v>0</v>
      </c>
      <c r="R3071" t="str">
        <f>"9780826515117"</f>
        <v>9780826515117</v>
      </c>
      <c r="S3071" t="str">
        <f>"9780826592064"</f>
        <v>9780826592064</v>
      </c>
      <c r="T3071">
        <v>558991544</v>
      </c>
    </row>
    <row r="3072" spans="1:20" x14ac:dyDescent="0.25">
      <c r="A3072">
        <v>187608</v>
      </c>
      <c r="B3072" t="s">
        <v>14808</v>
      </c>
      <c r="C3072" t="s">
        <v>14809</v>
      </c>
      <c r="D3072" t="s">
        <v>10310</v>
      </c>
      <c r="E3072" t="s">
        <v>10310</v>
      </c>
      <c r="F3072">
        <v>2005</v>
      </c>
      <c r="G3072" t="s">
        <v>2417</v>
      </c>
      <c r="H3072" t="s">
        <v>14810</v>
      </c>
      <c r="I3072" t="s">
        <v>14811</v>
      </c>
      <c r="J3072" t="s">
        <v>26</v>
      </c>
      <c r="K3072" t="s">
        <v>27</v>
      </c>
      <c r="L3072" t="b">
        <v>1</v>
      </c>
      <c r="M3072" t="s">
        <v>14812</v>
      </c>
      <c r="N3072" t="str">
        <f>"813/.3093552"</f>
        <v>813/.3093552</v>
      </c>
      <c r="P3072" t="b">
        <v>0</v>
      </c>
      <c r="R3072" t="str">
        <f>"9780826514752"</f>
        <v>9780826514752</v>
      </c>
      <c r="S3072" t="str">
        <f>"9780826591890"</f>
        <v>9780826591890</v>
      </c>
      <c r="T3072">
        <v>559043998</v>
      </c>
    </row>
    <row r="3073" spans="1:20" x14ac:dyDescent="0.25">
      <c r="A3073">
        <v>187607</v>
      </c>
      <c r="B3073" t="s">
        <v>14813</v>
      </c>
      <c r="C3073" t="s">
        <v>14814</v>
      </c>
      <c r="D3073" t="s">
        <v>10310</v>
      </c>
      <c r="E3073" t="s">
        <v>10310</v>
      </c>
      <c r="F3073">
        <v>2005</v>
      </c>
      <c r="G3073" t="s">
        <v>1900</v>
      </c>
      <c r="H3073" t="s">
        <v>14815</v>
      </c>
      <c r="I3073" t="s">
        <v>14816</v>
      </c>
      <c r="J3073" t="s">
        <v>26</v>
      </c>
      <c r="K3073" t="s">
        <v>27</v>
      </c>
      <c r="L3073" t="b">
        <v>1</v>
      </c>
      <c r="M3073" t="s">
        <v>14817</v>
      </c>
      <c r="N3073" t="str">
        <f>"305.4/0946/0903"</f>
        <v>305.4/0946/0903</v>
      </c>
      <c r="P3073" t="b">
        <v>0</v>
      </c>
      <c r="R3073" t="str">
        <f>"9780826514813"</f>
        <v>9780826514813</v>
      </c>
      <c r="S3073" t="str">
        <f>"9781441636577"</f>
        <v>9781441636577</v>
      </c>
      <c r="T3073">
        <v>592756213</v>
      </c>
    </row>
    <row r="3074" spans="1:20" x14ac:dyDescent="0.25">
      <c r="A3074">
        <v>187606</v>
      </c>
      <c r="B3074" t="s">
        <v>14818</v>
      </c>
      <c r="C3074" t="s">
        <v>14819</v>
      </c>
      <c r="D3074" t="s">
        <v>10310</v>
      </c>
      <c r="E3074" t="s">
        <v>10310</v>
      </c>
      <c r="F3074">
        <v>2006</v>
      </c>
      <c r="G3074" t="s">
        <v>8311</v>
      </c>
      <c r="H3074" t="s">
        <v>14820</v>
      </c>
      <c r="I3074" t="s">
        <v>14821</v>
      </c>
      <c r="J3074" t="s">
        <v>26</v>
      </c>
      <c r="K3074" t="s">
        <v>27</v>
      </c>
      <c r="L3074" t="b">
        <v>1</v>
      </c>
      <c r="M3074" t="s">
        <v>14822</v>
      </c>
      <c r="N3074" t="str">
        <f>"362.198/97"</f>
        <v>362.198/97</v>
      </c>
      <c r="P3074" t="b">
        <v>0</v>
      </c>
      <c r="R3074" t="str">
        <f>"9780826514899"</f>
        <v>9780826514899</v>
      </c>
      <c r="S3074" t="str">
        <f>"9780826591951"</f>
        <v>9780826591951</v>
      </c>
      <c r="T3074">
        <v>558991508</v>
      </c>
    </row>
    <row r="3075" spans="1:20" x14ac:dyDescent="0.25">
      <c r="A3075">
        <v>187605</v>
      </c>
      <c r="B3075" t="s">
        <v>14823</v>
      </c>
      <c r="C3075" t="s">
        <v>14824</v>
      </c>
      <c r="D3075" t="s">
        <v>10310</v>
      </c>
      <c r="E3075" t="s">
        <v>10310</v>
      </c>
      <c r="F3075">
        <v>2005</v>
      </c>
      <c r="G3075" t="s">
        <v>7710</v>
      </c>
      <c r="H3075" t="s">
        <v>14825</v>
      </c>
      <c r="I3075" t="s">
        <v>14826</v>
      </c>
      <c r="J3075" t="s">
        <v>26</v>
      </c>
      <c r="K3075" t="s">
        <v>27</v>
      </c>
      <c r="L3075" t="b">
        <v>1</v>
      </c>
      <c r="M3075" t="s">
        <v>14827</v>
      </c>
      <c r="N3075" t="str">
        <f>"946/.054"</f>
        <v>946/.054</v>
      </c>
      <c r="P3075" t="b">
        <v>0</v>
      </c>
      <c r="R3075" t="str">
        <f>"9780826514929"</f>
        <v>9780826514929</v>
      </c>
      <c r="S3075" t="str">
        <f>"9780826591975"</f>
        <v>9780826591975</v>
      </c>
      <c r="T3075">
        <v>464697924</v>
      </c>
    </row>
    <row r="3076" spans="1:20" x14ac:dyDescent="0.25">
      <c r="A3076">
        <v>187604</v>
      </c>
      <c r="B3076" t="s">
        <v>14828</v>
      </c>
      <c r="C3076" t="s">
        <v>14829</v>
      </c>
      <c r="D3076" t="s">
        <v>10310</v>
      </c>
      <c r="E3076" t="s">
        <v>10310</v>
      </c>
      <c r="F3076">
        <v>2005</v>
      </c>
      <c r="G3076" t="s">
        <v>1550</v>
      </c>
      <c r="H3076" t="s">
        <v>14830</v>
      </c>
      <c r="I3076" t="s">
        <v>14831</v>
      </c>
      <c r="J3076" t="s">
        <v>26</v>
      </c>
      <c r="K3076" t="s">
        <v>27</v>
      </c>
      <c r="L3076" t="b">
        <v>1</v>
      </c>
      <c r="M3076" t="s">
        <v>14832</v>
      </c>
      <c r="N3076" t="str">
        <f>"378/.013/0973"</f>
        <v>378/.013/0973</v>
      </c>
      <c r="P3076" t="b">
        <v>0</v>
      </c>
      <c r="R3076" t="str">
        <f>"9780826515049"</f>
        <v>9780826515049</v>
      </c>
      <c r="S3076" t="str">
        <f>"9780826592033"</f>
        <v>9780826592033</v>
      </c>
      <c r="T3076">
        <v>558991507</v>
      </c>
    </row>
    <row r="3077" spans="1:20" x14ac:dyDescent="0.25">
      <c r="A3077">
        <v>187603</v>
      </c>
      <c r="B3077" t="s">
        <v>14833</v>
      </c>
      <c r="C3077" t="s">
        <v>14834</v>
      </c>
      <c r="D3077" t="s">
        <v>10310</v>
      </c>
      <c r="E3077" t="s">
        <v>10310</v>
      </c>
      <c r="F3077">
        <v>2006</v>
      </c>
      <c r="G3077" t="s">
        <v>11409</v>
      </c>
      <c r="H3077" t="s">
        <v>14835</v>
      </c>
      <c r="I3077" t="s">
        <v>12914</v>
      </c>
      <c r="J3077" t="s">
        <v>26</v>
      </c>
      <c r="K3077" t="s">
        <v>27</v>
      </c>
      <c r="L3077" t="b">
        <v>1</v>
      </c>
      <c r="M3077" t="s">
        <v>12915</v>
      </c>
      <c r="N3077" t="str">
        <f>"508"</f>
        <v>508</v>
      </c>
      <c r="P3077" t="b">
        <v>0</v>
      </c>
      <c r="R3077" t="str">
        <f>"9780826515094"</f>
        <v>9780826515094</v>
      </c>
      <c r="S3077" t="str">
        <f>"9780826592057"</f>
        <v>9780826592057</v>
      </c>
      <c r="T3077">
        <v>558991504</v>
      </c>
    </row>
    <row r="3078" spans="1:20" x14ac:dyDescent="0.25">
      <c r="A3078">
        <v>187602</v>
      </c>
      <c r="B3078" t="s">
        <v>14836</v>
      </c>
      <c r="C3078" t="s">
        <v>14837</v>
      </c>
      <c r="D3078" t="s">
        <v>10310</v>
      </c>
      <c r="E3078" t="s">
        <v>10310</v>
      </c>
      <c r="F3078">
        <v>2005</v>
      </c>
      <c r="G3078" t="s">
        <v>1591</v>
      </c>
      <c r="H3078" t="s">
        <v>14838</v>
      </c>
      <c r="I3078" t="s">
        <v>14839</v>
      </c>
      <c r="J3078" t="s">
        <v>26</v>
      </c>
      <c r="K3078" t="s">
        <v>27</v>
      </c>
      <c r="L3078" t="b">
        <v>1</v>
      </c>
      <c r="M3078" t="s">
        <v>14840</v>
      </c>
      <c r="N3078" t="str">
        <f>"305.8/0097633509/041"</f>
        <v>305.8/0097633509/041</v>
      </c>
      <c r="P3078" t="b">
        <v>0</v>
      </c>
      <c r="R3078" t="str">
        <f>"9780826514837"</f>
        <v>9780826514837</v>
      </c>
      <c r="S3078" t="str">
        <f>"9780826591937"</f>
        <v>9780826591937</v>
      </c>
      <c r="T3078">
        <v>558991503</v>
      </c>
    </row>
    <row r="3079" spans="1:20" x14ac:dyDescent="0.25">
      <c r="A3079">
        <v>187601</v>
      </c>
      <c r="B3079" t="s">
        <v>14841</v>
      </c>
      <c r="C3079" t="s">
        <v>14842</v>
      </c>
      <c r="D3079" t="s">
        <v>10310</v>
      </c>
      <c r="E3079" t="s">
        <v>10310</v>
      </c>
      <c r="F3079">
        <v>2005</v>
      </c>
      <c r="G3079" t="s">
        <v>14843</v>
      </c>
      <c r="H3079" t="s">
        <v>14844</v>
      </c>
      <c r="I3079" t="s">
        <v>14845</v>
      </c>
      <c r="J3079" t="s">
        <v>26</v>
      </c>
      <c r="K3079" t="s">
        <v>27</v>
      </c>
      <c r="L3079" t="b">
        <v>1</v>
      </c>
      <c r="M3079" t="s">
        <v>14846</v>
      </c>
      <c r="N3079" t="str">
        <f>"378.3/0973"</f>
        <v>378.3/0973</v>
      </c>
      <c r="P3079" t="b">
        <v>0</v>
      </c>
      <c r="R3079" t="str">
        <f>"9780826515025"</f>
        <v>9780826515025</v>
      </c>
      <c r="S3079" t="str">
        <f>"9780826592026"</f>
        <v>9780826592026</v>
      </c>
      <c r="T3079">
        <v>464696629</v>
      </c>
    </row>
    <row r="3080" spans="1:20" x14ac:dyDescent="0.25">
      <c r="A3080">
        <v>187599</v>
      </c>
      <c r="B3080" t="s">
        <v>14847</v>
      </c>
      <c r="C3080" t="s">
        <v>14848</v>
      </c>
      <c r="D3080" t="s">
        <v>10310</v>
      </c>
      <c r="E3080" t="s">
        <v>10310</v>
      </c>
      <c r="F3080">
        <v>2005</v>
      </c>
      <c r="G3080" t="s">
        <v>14849</v>
      </c>
      <c r="H3080" t="s">
        <v>14850</v>
      </c>
      <c r="I3080" t="s">
        <v>14851</v>
      </c>
      <c r="J3080" t="s">
        <v>26</v>
      </c>
      <c r="K3080" t="s">
        <v>27</v>
      </c>
      <c r="L3080" t="b">
        <v>1</v>
      </c>
      <c r="M3080" t="s">
        <v>14852</v>
      </c>
      <c r="N3080" t="str">
        <f>"959.704/38"</f>
        <v>959.704/38</v>
      </c>
      <c r="P3080" t="b">
        <v>0</v>
      </c>
      <c r="R3080" t="str">
        <f>"9780826514943"</f>
        <v>9780826514943</v>
      </c>
      <c r="S3080" t="str">
        <f>"9780826591982"</f>
        <v>9780826591982</v>
      </c>
      <c r="T3080">
        <v>558991499</v>
      </c>
    </row>
    <row r="3081" spans="1:20" x14ac:dyDescent="0.25">
      <c r="A3081">
        <v>187598</v>
      </c>
      <c r="B3081" t="s">
        <v>14853</v>
      </c>
      <c r="D3081" t="s">
        <v>10310</v>
      </c>
      <c r="E3081" t="s">
        <v>10310</v>
      </c>
      <c r="F3081">
        <v>2006</v>
      </c>
      <c r="G3081" t="s">
        <v>2203</v>
      </c>
      <c r="H3081" t="s">
        <v>14854</v>
      </c>
      <c r="I3081" t="s">
        <v>14855</v>
      </c>
      <c r="J3081" t="s">
        <v>26</v>
      </c>
      <c r="K3081" t="s">
        <v>27</v>
      </c>
      <c r="L3081" t="b">
        <v>1</v>
      </c>
      <c r="M3081" t="s">
        <v>14856</v>
      </c>
      <c r="N3081" t="str">
        <f>"863/.6"</f>
        <v>863/.6</v>
      </c>
      <c r="P3081" t="b">
        <v>1</v>
      </c>
      <c r="R3081" t="str">
        <f>"9780826515179"</f>
        <v>9780826515179</v>
      </c>
      <c r="S3081" t="str">
        <f>"9780826592095"</f>
        <v>9780826592095</v>
      </c>
      <c r="T3081">
        <v>559039778</v>
      </c>
    </row>
    <row r="3082" spans="1:20" x14ac:dyDescent="0.25">
      <c r="A3082">
        <v>187595</v>
      </c>
      <c r="B3082" t="s">
        <v>14857</v>
      </c>
      <c r="C3082" t="s">
        <v>14858</v>
      </c>
      <c r="D3082" t="s">
        <v>10310</v>
      </c>
      <c r="E3082" t="s">
        <v>10310</v>
      </c>
      <c r="F3082">
        <v>2006</v>
      </c>
      <c r="G3082" t="s">
        <v>5469</v>
      </c>
      <c r="H3082" t="s">
        <v>14859</v>
      </c>
      <c r="I3082" t="s">
        <v>14860</v>
      </c>
      <c r="J3082" t="s">
        <v>26</v>
      </c>
      <c r="K3082" t="s">
        <v>27</v>
      </c>
      <c r="L3082" t="b">
        <v>1</v>
      </c>
      <c r="M3082" t="s">
        <v>14861</v>
      </c>
      <c r="N3082" t="str">
        <f>"860.9/145/09033"</f>
        <v>860.9/145/09033</v>
      </c>
      <c r="P3082" t="b">
        <v>0</v>
      </c>
      <c r="R3082" t="str">
        <f>"9780826515216"</f>
        <v>9780826515216</v>
      </c>
      <c r="S3082" t="str">
        <f>"9780826592118"</f>
        <v>9780826592118</v>
      </c>
      <c r="T3082">
        <v>593336735</v>
      </c>
    </row>
    <row r="3083" spans="1:20" x14ac:dyDescent="0.25">
      <c r="A3083">
        <v>187594</v>
      </c>
      <c r="B3083" t="s">
        <v>14862</v>
      </c>
      <c r="C3083" t="s">
        <v>14863</v>
      </c>
      <c r="D3083" t="s">
        <v>10310</v>
      </c>
      <c r="E3083" t="s">
        <v>10310</v>
      </c>
      <c r="F3083">
        <v>2006</v>
      </c>
      <c r="G3083" t="s">
        <v>5469</v>
      </c>
      <c r="H3083" t="s">
        <v>14864</v>
      </c>
      <c r="I3083" t="s">
        <v>14865</v>
      </c>
      <c r="J3083" t="s">
        <v>26</v>
      </c>
      <c r="K3083" t="s">
        <v>27</v>
      </c>
      <c r="L3083" t="b">
        <v>1</v>
      </c>
      <c r="M3083" t="s">
        <v>14866</v>
      </c>
      <c r="N3083" t="str">
        <f>"868/.6080998"</f>
        <v>868/.6080998</v>
      </c>
      <c r="P3083" t="b">
        <v>0</v>
      </c>
      <c r="R3083" t="str">
        <f>"9780826515230"</f>
        <v>9780826515230</v>
      </c>
      <c r="S3083" t="str">
        <f>"9781441627230"</f>
        <v>9781441627230</v>
      </c>
      <c r="T3083">
        <v>461265438</v>
      </c>
    </row>
    <row r="3084" spans="1:20" x14ac:dyDescent="0.25">
      <c r="A3084">
        <v>187593</v>
      </c>
      <c r="B3084" t="s">
        <v>14867</v>
      </c>
      <c r="C3084" t="s">
        <v>14868</v>
      </c>
      <c r="D3084" t="s">
        <v>10310</v>
      </c>
      <c r="E3084" t="s">
        <v>10310</v>
      </c>
      <c r="F3084">
        <v>2006</v>
      </c>
      <c r="G3084" t="s">
        <v>2417</v>
      </c>
      <c r="H3084" t="s">
        <v>14869</v>
      </c>
      <c r="I3084" t="s">
        <v>14870</v>
      </c>
      <c r="J3084" t="s">
        <v>26</v>
      </c>
      <c r="K3084" t="s">
        <v>27</v>
      </c>
      <c r="L3084" t="b">
        <v>1</v>
      </c>
      <c r="M3084" t="s">
        <v>14871</v>
      </c>
      <c r="N3084" t="str">
        <f>"813/.5409"</f>
        <v>813/.5409</v>
      </c>
      <c r="P3084" t="b">
        <v>0</v>
      </c>
      <c r="R3084" t="str">
        <f>"9780826515193"</f>
        <v>9780826515193</v>
      </c>
      <c r="S3084" t="str">
        <f>"9780826592101"</f>
        <v>9780826592101</v>
      </c>
      <c r="T3084">
        <v>592756212</v>
      </c>
    </row>
    <row r="3085" spans="1:20" x14ac:dyDescent="0.25">
      <c r="A3085">
        <v>187592</v>
      </c>
      <c r="B3085" t="s">
        <v>14872</v>
      </c>
      <c r="C3085" t="s">
        <v>14873</v>
      </c>
      <c r="D3085" t="s">
        <v>10310</v>
      </c>
      <c r="E3085" t="s">
        <v>10310</v>
      </c>
      <c r="F3085">
        <v>2006</v>
      </c>
      <c r="H3085" t="s">
        <v>14874</v>
      </c>
      <c r="I3085" t="s">
        <v>14875</v>
      </c>
      <c r="J3085" t="s">
        <v>26</v>
      </c>
      <c r="K3085" t="s">
        <v>27</v>
      </c>
      <c r="L3085" t="b">
        <v>1</v>
      </c>
      <c r="M3085" t="s">
        <v>14876</v>
      </c>
      <c r="N3085" t="str">
        <f>"363.46"</f>
        <v>363.46</v>
      </c>
      <c r="P3085" t="b">
        <v>0</v>
      </c>
      <c r="R3085" t="str">
        <f>"9780826515254"</f>
        <v>9780826515254</v>
      </c>
      <c r="S3085" t="str">
        <f>"9781441627247"</f>
        <v>9781441627247</v>
      </c>
      <c r="T3085">
        <v>461290634</v>
      </c>
    </row>
    <row r="3086" spans="1:20" x14ac:dyDescent="0.25">
      <c r="A3086">
        <v>187591</v>
      </c>
      <c r="B3086" t="s">
        <v>14877</v>
      </c>
      <c r="C3086" t="s">
        <v>14878</v>
      </c>
      <c r="D3086" t="s">
        <v>10310</v>
      </c>
      <c r="E3086" t="s">
        <v>10310</v>
      </c>
      <c r="F3086">
        <v>2006</v>
      </c>
      <c r="G3086" t="s">
        <v>10574</v>
      </c>
      <c r="H3086" t="s">
        <v>14879</v>
      </c>
      <c r="I3086" t="s">
        <v>14880</v>
      </c>
      <c r="J3086" t="s">
        <v>26</v>
      </c>
      <c r="K3086" t="s">
        <v>27</v>
      </c>
      <c r="L3086" t="b">
        <v>1</v>
      </c>
      <c r="M3086" t="s">
        <v>14881</v>
      </c>
      <c r="N3086" t="str">
        <f>"363.9/6"</f>
        <v>363.9/6</v>
      </c>
      <c r="P3086" t="b">
        <v>0</v>
      </c>
      <c r="R3086" t="str">
        <f>"9780826515278"</f>
        <v>9780826515278</v>
      </c>
      <c r="S3086" t="str">
        <f>"9781441627254"</f>
        <v>9781441627254</v>
      </c>
      <c r="T3086">
        <v>461290615</v>
      </c>
    </row>
    <row r="3087" spans="1:20" x14ac:dyDescent="0.25">
      <c r="A3087">
        <v>186579</v>
      </c>
      <c r="B3087" t="s">
        <v>14882</v>
      </c>
      <c r="C3087" t="s">
        <v>13490</v>
      </c>
      <c r="D3087" t="s">
        <v>5828</v>
      </c>
      <c r="E3087" t="s">
        <v>12469</v>
      </c>
      <c r="F3087">
        <v>2006</v>
      </c>
      <c r="G3087" t="s">
        <v>14883</v>
      </c>
      <c r="H3087" t="s">
        <v>14884</v>
      </c>
      <c r="I3087" t="s">
        <v>14885</v>
      </c>
      <c r="J3087" t="s">
        <v>26</v>
      </c>
      <c r="K3087" t="s">
        <v>27</v>
      </c>
      <c r="L3087" t="b">
        <v>1</v>
      </c>
      <c r="M3087" t="s">
        <v>14886</v>
      </c>
      <c r="N3087" t="str">
        <f>"616.89"</f>
        <v>616.89</v>
      </c>
      <c r="O3087" t="s">
        <v>13493</v>
      </c>
      <c r="P3087" t="b">
        <v>0</v>
      </c>
      <c r="R3087" t="str">
        <f>"9780192807274"</f>
        <v>9780192807274</v>
      </c>
      <c r="S3087" t="str">
        <f>"9780191517686"</f>
        <v>9780191517686</v>
      </c>
      <c r="T3087">
        <v>94217109</v>
      </c>
    </row>
    <row r="3088" spans="1:20" x14ac:dyDescent="0.25">
      <c r="A3088">
        <v>186558</v>
      </c>
      <c r="B3088" t="s">
        <v>14887</v>
      </c>
      <c r="C3088" t="s">
        <v>13490</v>
      </c>
      <c r="D3088" t="s">
        <v>5828</v>
      </c>
      <c r="E3088" t="s">
        <v>12469</v>
      </c>
      <c r="F3088">
        <v>2004</v>
      </c>
      <c r="G3088" t="s">
        <v>14888</v>
      </c>
      <c r="H3088" t="s">
        <v>14889</v>
      </c>
      <c r="I3088" t="s">
        <v>14890</v>
      </c>
      <c r="J3088" t="s">
        <v>26</v>
      </c>
      <c r="K3088" t="s">
        <v>27</v>
      </c>
      <c r="L3088" t="b">
        <v>1</v>
      </c>
      <c r="M3088" t="s">
        <v>14891</v>
      </c>
      <c r="N3088" t="str">
        <f>"174.2"</f>
        <v>174.2</v>
      </c>
      <c r="O3088" t="s">
        <v>14892</v>
      </c>
      <c r="P3088" t="b">
        <v>0</v>
      </c>
      <c r="R3088" t="str">
        <f>"9780192802828"</f>
        <v>9780192802828</v>
      </c>
      <c r="S3088" t="str">
        <f>"9780191516627"</f>
        <v>9780191516627</v>
      </c>
      <c r="T3088">
        <v>104626893</v>
      </c>
    </row>
    <row r="3089" spans="1:20" x14ac:dyDescent="0.25">
      <c r="A3089">
        <v>186172</v>
      </c>
      <c r="B3089" t="s">
        <v>14893</v>
      </c>
      <c r="C3089" t="s">
        <v>14894</v>
      </c>
      <c r="D3089" t="s">
        <v>13060</v>
      </c>
      <c r="E3089" t="s">
        <v>13060</v>
      </c>
      <c r="F3089">
        <v>2006</v>
      </c>
      <c r="G3089" t="s">
        <v>8655</v>
      </c>
      <c r="H3089" t="s">
        <v>14895</v>
      </c>
      <c r="I3089" t="s">
        <v>14896</v>
      </c>
      <c r="J3089" t="s">
        <v>26</v>
      </c>
      <c r="K3089" t="s">
        <v>27</v>
      </c>
      <c r="L3089" t="b">
        <v>1</v>
      </c>
      <c r="M3089" t="s">
        <v>14897</v>
      </c>
      <c r="N3089" t="str">
        <f>"004.6"</f>
        <v>004.6</v>
      </c>
      <c r="P3089" t="b">
        <v>0</v>
      </c>
      <c r="R3089" t="str">
        <f>"9781600050152"</f>
        <v>9781600050152</v>
      </c>
      <c r="S3089" t="str">
        <f>"9781600050169"</f>
        <v>9781600050169</v>
      </c>
      <c r="T3089">
        <v>86069093</v>
      </c>
    </row>
    <row r="3090" spans="1:20" x14ac:dyDescent="0.25">
      <c r="A3090">
        <v>184934</v>
      </c>
      <c r="B3090" t="s">
        <v>14898</v>
      </c>
      <c r="C3090" t="s">
        <v>14899</v>
      </c>
      <c r="D3090" t="s">
        <v>12182</v>
      </c>
      <c r="E3090" t="s">
        <v>12182</v>
      </c>
      <c r="F3090">
        <v>2006</v>
      </c>
      <c r="G3090" t="s">
        <v>6758</v>
      </c>
      <c r="H3090" t="s">
        <v>14900</v>
      </c>
      <c r="I3090" t="s">
        <v>14901</v>
      </c>
      <c r="J3090" t="s">
        <v>26</v>
      </c>
      <c r="K3090" t="s">
        <v>27</v>
      </c>
      <c r="L3090" t="b">
        <v>1</v>
      </c>
      <c r="M3090" t="s">
        <v>14902</v>
      </c>
      <c r="N3090" t="str">
        <f>"540.76"</f>
        <v>540.76</v>
      </c>
      <c r="P3090" t="b">
        <v>0</v>
      </c>
      <c r="R3090" t="str">
        <f>"9781889057378"</f>
        <v>9781889057378</v>
      </c>
      <c r="S3090" t="str">
        <f>"9781889057453"</f>
        <v>9781889057453</v>
      </c>
      <c r="T3090">
        <v>85872617</v>
      </c>
    </row>
    <row r="3091" spans="1:20" x14ac:dyDescent="0.25">
      <c r="A3091">
        <v>184933</v>
      </c>
      <c r="B3091" t="s">
        <v>14903</v>
      </c>
      <c r="D3091" t="s">
        <v>12182</v>
      </c>
      <c r="E3091" t="s">
        <v>12182</v>
      </c>
      <c r="F3091">
        <v>2005</v>
      </c>
      <c r="G3091" t="s">
        <v>14904</v>
      </c>
      <c r="H3091" t="s">
        <v>14905</v>
      </c>
      <c r="I3091" t="s">
        <v>14906</v>
      </c>
      <c r="J3091" t="s">
        <v>26</v>
      </c>
      <c r="K3091" t="s">
        <v>27</v>
      </c>
      <c r="L3091" t="b">
        <v>1</v>
      </c>
      <c r="M3091" t="s">
        <v>14907</v>
      </c>
      <c r="N3091" t="str">
        <f>"610.76"</f>
        <v>610.76</v>
      </c>
      <c r="O3091" t="s">
        <v>14908</v>
      </c>
      <c r="P3091" t="b">
        <v>0</v>
      </c>
      <c r="Q3091" t="b">
        <v>0</v>
      </c>
      <c r="R3091" t="str">
        <f>"9781889057330"</f>
        <v>9781889057330</v>
      </c>
      <c r="S3091" t="str">
        <f>"9781889057439"</f>
        <v>9781889057439</v>
      </c>
      <c r="T3091">
        <v>86105395</v>
      </c>
    </row>
    <row r="3092" spans="1:20" x14ac:dyDescent="0.25">
      <c r="A3092">
        <v>184932</v>
      </c>
      <c r="B3092" t="s">
        <v>14909</v>
      </c>
      <c r="D3092" t="s">
        <v>12182</v>
      </c>
      <c r="E3092" t="s">
        <v>12182</v>
      </c>
      <c r="F3092">
        <v>2006</v>
      </c>
      <c r="G3092" t="s">
        <v>14904</v>
      </c>
      <c r="H3092" t="s">
        <v>14910</v>
      </c>
      <c r="I3092" t="s">
        <v>14911</v>
      </c>
      <c r="J3092" t="s">
        <v>26</v>
      </c>
      <c r="K3092" t="s">
        <v>27</v>
      </c>
      <c r="L3092" t="b">
        <v>1</v>
      </c>
      <c r="M3092" t="s">
        <v>14912</v>
      </c>
      <c r="N3092" t="str">
        <f>"610.76"</f>
        <v>610.76</v>
      </c>
      <c r="P3092" t="b">
        <v>0</v>
      </c>
      <c r="R3092" t="str">
        <f>"9781889057422"</f>
        <v>9781889057422</v>
      </c>
      <c r="S3092" t="str">
        <f>"9781889057446"</f>
        <v>9781889057446</v>
      </c>
      <c r="T3092">
        <v>86105387</v>
      </c>
    </row>
    <row r="3093" spans="1:20" x14ac:dyDescent="0.25">
      <c r="A3093">
        <v>180447</v>
      </c>
      <c r="B3093" t="s">
        <v>14913</v>
      </c>
      <c r="C3093" t="s">
        <v>14914</v>
      </c>
      <c r="D3093" t="s">
        <v>7757</v>
      </c>
      <c r="E3093" t="s">
        <v>7757</v>
      </c>
      <c r="F3093">
        <v>2007</v>
      </c>
      <c r="G3093" t="s">
        <v>14915</v>
      </c>
      <c r="H3093" t="s">
        <v>14916</v>
      </c>
      <c r="I3093" t="s">
        <v>14917</v>
      </c>
      <c r="J3093" t="s">
        <v>26</v>
      </c>
      <c r="K3093" t="s">
        <v>27</v>
      </c>
      <c r="L3093" t="b">
        <v>1</v>
      </c>
      <c r="M3093" t="s">
        <v>14918</v>
      </c>
      <c r="N3093" t="str">
        <f>"616.89/1656"</f>
        <v>616.89/1656</v>
      </c>
      <c r="O3093" t="s">
        <v>14919</v>
      </c>
      <c r="P3093" t="b">
        <v>0</v>
      </c>
      <c r="R3093" t="str">
        <f>"9781843104551"</f>
        <v>9781843104551</v>
      </c>
      <c r="S3093" t="str">
        <f>"9781846425769"</f>
        <v>9781846425769</v>
      </c>
      <c r="T3093">
        <v>122939966</v>
      </c>
    </row>
    <row r="3094" spans="1:20" x14ac:dyDescent="0.25">
      <c r="A3094">
        <v>180236</v>
      </c>
      <c r="B3094" t="s">
        <v>14920</v>
      </c>
      <c r="C3094" t="s">
        <v>14921</v>
      </c>
      <c r="D3094" t="s">
        <v>6269</v>
      </c>
      <c r="E3094" t="s">
        <v>6269</v>
      </c>
      <c r="F3094">
        <v>2006</v>
      </c>
      <c r="G3094" t="s">
        <v>14922</v>
      </c>
      <c r="H3094" t="s">
        <v>14923</v>
      </c>
      <c r="I3094" t="s">
        <v>14924</v>
      </c>
      <c r="J3094" t="s">
        <v>26</v>
      </c>
      <c r="K3094" t="s">
        <v>27</v>
      </c>
      <c r="L3094" t="b">
        <v>1</v>
      </c>
      <c r="M3094" t="s">
        <v>14925</v>
      </c>
      <c r="N3094" t="str">
        <f>"006.3"</f>
        <v>006.3</v>
      </c>
      <c r="O3094" t="s">
        <v>14385</v>
      </c>
      <c r="P3094" t="b">
        <v>0</v>
      </c>
      <c r="Q3094" t="b">
        <v>0</v>
      </c>
      <c r="R3094" t="str">
        <f>"9781590475676"</f>
        <v>9781590475676</v>
      </c>
      <c r="S3094" t="str">
        <f>"9781429462488"</f>
        <v>9781429462488</v>
      </c>
      <c r="T3094">
        <v>123089078</v>
      </c>
    </row>
    <row r="3095" spans="1:20" x14ac:dyDescent="0.25">
      <c r="A3095">
        <v>180234</v>
      </c>
      <c r="B3095" t="s">
        <v>14926</v>
      </c>
      <c r="C3095" t="s">
        <v>7223</v>
      </c>
      <c r="D3095" t="s">
        <v>6269</v>
      </c>
      <c r="E3095" t="s">
        <v>6269</v>
      </c>
      <c r="F3095">
        <v>2007</v>
      </c>
      <c r="G3095" t="s">
        <v>10863</v>
      </c>
      <c r="H3095" t="s">
        <v>14927</v>
      </c>
      <c r="I3095" t="s">
        <v>14928</v>
      </c>
      <c r="J3095" t="s">
        <v>26</v>
      </c>
      <c r="K3095" t="s">
        <v>27</v>
      </c>
      <c r="L3095" t="b">
        <v>1</v>
      </c>
      <c r="M3095" t="s">
        <v>14929</v>
      </c>
      <c r="N3095" t="str">
        <f>"615/.1901"</f>
        <v>615/.1901</v>
      </c>
      <c r="O3095" t="s">
        <v>14385</v>
      </c>
      <c r="P3095" t="b">
        <v>0</v>
      </c>
      <c r="R3095" t="str">
        <f>"9781590478868"</f>
        <v>9781590478868</v>
      </c>
      <c r="S3095" t="str">
        <f>"9781599943572"</f>
        <v>9781599943572</v>
      </c>
      <c r="T3095">
        <v>128140349</v>
      </c>
    </row>
    <row r="3096" spans="1:20" x14ac:dyDescent="0.25">
      <c r="A3096">
        <v>176974</v>
      </c>
      <c r="B3096" t="s">
        <v>14930</v>
      </c>
      <c r="C3096" t="s">
        <v>14931</v>
      </c>
      <c r="D3096" t="s">
        <v>5828</v>
      </c>
      <c r="E3096" t="s">
        <v>99</v>
      </c>
      <c r="F3096">
        <v>2005</v>
      </c>
      <c r="G3096" t="s">
        <v>4186</v>
      </c>
      <c r="H3096" t="s">
        <v>14932</v>
      </c>
      <c r="I3096" t="s">
        <v>14933</v>
      </c>
      <c r="J3096" t="s">
        <v>26</v>
      </c>
      <c r="K3096" t="s">
        <v>27</v>
      </c>
      <c r="L3096" t="b">
        <v>1</v>
      </c>
      <c r="M3096" t="s">
        <v>14934</v>
      </c>
      <c r="N3096" t="str">
        <f>"571.6/57"</f>
        <v>571.6/57</v>
      </c>
      <c r="P3096" t="b">
        <v>0</v>
      </c>
      <c r="R3096" t="str">
        <f>"9780192804815"</f>
        <v>9780192804815</v>
      </c>
      <c r="S3096" t="str">
        <f>"9780191513015"</f>
        <v>9780191513015</v>
      </c>
      <c r="T3096">
        <v>76967066</v>
      </c>
    </row>
    <row r="3097" spans="1:20" x14ac:dyDescent="0.25">
      <c r="A3097">
        <v>176462</v>
      </c>
      <c r="B3097" t="s">
        <v>14935</v>
      </c>
      <c r="C3097" t="s">
        <v>5712</v>
      </c>
      <c r="D3097" t="s">
        <v>14112</v>
      </c>
      <c r="E3097" t="s">
        <v>14112</v>
      </c>
      <c r="F3097">
        <v>2005</v>
      </c>
      <c r="G3097" t="s">
        <v>242</v>
      </c>
      <c r="H3097" t="s">
        <v>14936</v>
      </c>
      <c r="I3097" t="s">
        <v>14937</v>
      </c>
      <c r="J3097" t="s">
        <v>26</v>
      </c>
      <c r="K3097" t="s">
        <v>27</v>
      </c>
      <c r="L3097" t="b">
        <v>1</v>
      </c>
      <c r="M3097" t="s">
        <v>14938</v>
      </c>
      <c r="N3097" t="str">
        <f>"811/.54;B"</f>
        <v>811/.54;B</v>
      </c>
      <c r="P3097" t="b">
        <v>0</v>
      </c>
      <c r="R3097" t="str">
        <f>"9780813536583"</f>
        <v>9780813536583</v>
      </c>
      <c r="S3097" t="str">
        <f>"9780813541082"</f>
        <v>9780813541082</v>
      </c>
      <c r="T3097">
        <v>191935621</v>
      </c>
    </row>
    <row r="3098" spans="1:20" x14ac:dyDescent="0.25">
      <c r="A3098">
        <v>169116</v>
      </c>
      <c r="B3098" t="s">
        <v>3246</v>
      </c>
      <c r="D3098" t="s">
        <v>98</v>
      </c>
      <c r="E3098" t="s">
        <v>12469</v>
      </c>
      <c r="F3098">
        <v>2001</v>
      </c>
      <c r="G3098" t="s">
        <v>14939</v>
      </c>
      <c r="H3098" t="s">
        <v>14940</v>
      </c>
      <c r="J3098" t="s">
        <v>26</v>
      </c>
      <c r="K3098" t="s">
        <v>27</v>
      </c>
      <c r="L3098" t="b">
        <v>1</v>
      </c>
      <c r="M3098" t="s">
        <v>14941</v>
      </c>
      <c r="N3098" t="str">
        <f>"882/.01"</f>
        <v>882/.01</v>
      </c>
      <c r="O3098" t="s">
        <v>14942</v>
      </c>
      <c r="P3098" t="b">
        <v>1</v>
      </c>
      <c r="R3098" t="str">
        <f>"9780195049602"</f>
        <v>9780195049602</v>
      </c>
      <c r="S3098" t="str">
        <f>"9781429400565"</f>
        <v>9781429400565</v>
      </c>
      <c r="T3098">
        <v>560167295</v>
      </c>
    </row>
    <row r="3099" spans="1:20" x14ac:dyDescent="0.25">
      <c r="A3099">
        <v>168510</v>
      </c>
      <c r="B3099" t="s">
        <v>14943</v>
      </c>
      <c r="C3099" t="s">
        <v>14944</v>
      </c>
      <c r="D3099" t="s">
        <v>233</v>
      </c>
      <c r="E3099" t="s">
        <v>7120</v>
      </c>
      <c r="F3099">
        <v>2006</v>
      </c>
      <c r="G3099" t="s">
        <v>13793</v>
      </c>
      <c r="H3099" t="s">
        <v>14945</v>
      </c>
      <c r="I3099" t="s">
        <v>14946</v>
      </c>
      <c r="J3099" t="s">
        <v>26</v>
      </c>
      <c r="K3099" t="s">
        <v>86</v>
      </c>
      <c r="L3099" t="b">
        <v>1</v>
      </c>
      <c r="M3099" t="s">
        <v>14947</v>
      </c>
      <c r="N3099" t="str">
        <f>"361.3/2"</f>
        <v>361.3/2</v>
      </c>
      <c r="P3099" t="b">
        <v>0</v>
      </c>
      <c r="R3099" t="str">
        <f>"9780231125468"</f>
        <v>9780231125468</v>
      </c>
      <c r="S3099" t="str">
        <f>"9780231500746"</f>
        <v>9780231500746</v>
      </c>
      <c r="T3099">
        <v>76962855</v>
      </c>
    </row>
    <row r="3100" spans="1:20" x14ac:dyDescent="0.25">
      <c r="A3100">
        <v>168244</v>
      </c>
      <c r="B3100" t="s">
        <v>14948</v>
      </c>
      <c r="D3100" t="s">
        <v>12141</v>
      </c>
      <c r="E3100" t="s">
        <v>12141</v>
      </c>
      <c r="F3100">
        <v>2007</v>
      </c>
      <c r="G3100" t="s">
        <v>14949</v>
      </c>
      <c r="H3100" t="s">
        <v>14950</v>
      </c>
      <c r="I3100" t="s">
        <v>14951</v>
      </c>
      <c r="J3100" t="s">
        <v>26</v>
      </c>
      <c r="K3100" t="s">
        <v>27</v>
      </c>
      <c r="L3100" t="b">
        <v>1</v>
      </c>
      <c r="M3100" t="s">
        <v>12144</v>
      </c>
      <c r="N3100" t="str">
        <f>"621.3916"</f>
        <v>621.3916</v>
      </c>
      <c r="O3100" t="s">
        <v>12145</v>
      </c>
      <c r="P3100" t="b">
        <v>0</v>
      </c>
      <c r="R3100" t="str">
        <f>"9781585113095"</f>
        <v>9781585113095</v>
      </c>
      <c r="S3100" t="str">
        <f>"9781429477406"</f>
        <v>9781429477406</v>
      </c>
      <c r="T3100">
        <v>150561297</v>
      </c>
    </row>
    <row r="3101" spans="1:20" x14ac:dyDescent="0.25">
      <c r="A3101">
        <v>167934</v>
      </c>
      <c r="B3101" t="s">
        <v>14952</v>
      </c>
      <c r="C3101" t="s">
        <v>14953</v>
      </c>
      <c r="D3101" t="s">
        <v>717</v>
      </c>
      <c r="E3101" t="s">
        <v>718</v>
      </c>
      <c r="F3101">
        <v>2003</v>
      </c>
      <c r="G3101" t="s">
        <v>4558</v>
      </c>
      <c r="H3101" t="s">
        <v>14954</v>
      </c>
      <c r="I3101" t="s">
        <v>14955</v>
      </c>
      <c r="J3101" t="s">
        <v>26</v>
      </c>
      <c r="K3101" t="s">
        <v>86</v>
      </c>
      <c r="L3101" t="b">
        <v>1</v>
      </c>
      <c r="M3101" t="s">
        <v>14956</v>
      </c>
      <c r="N3101" t="str">
        <f>"337.73"</f>
        <v>337.73</v>
      </c>
      <c r="P3101" t="b">
        <v>0</v>
      </c>
      <c r="Q3101" t="b">
        <v>0</v>
      </c>
      <c r="R3101" t="str">
        <f>"9780745319902"</f>
        <v>9780745319902</v>
      </c>
      <c r="S3101" t="str">
        <f>"9781849641739"</f>
        <v>9781849641739</v>
      </c>
      <c r="T3101">
        <v>654104799</v>
      </c>
    </row>
    <row r="3102" spans="1:20" x14ac:dyDescent="0.25">
      <c r="A3102">
        <v>167929</v>
      </c>
      <c r="B3102" t="s">
        <v>14957</v>
      </c>
      <c r="D3102" t="s">
        <v>717</v>
      </c>
      <c r="E3102" t="s">
        <v>718</v>
      </c>
      <c r="F3102">
        <v>2005</v>
      </c>
      <c r="G3102" t="s">
        <v>14958</v>
      </c>
      <c r="H3102" t="s">
        <v>14959</v>
      </c>
      <c r="I3102" t="s">
        <v>14960</v>
      </c>
      <c r="J3102" t="s">
        <v>26</v>
      </c>
      <c r="K3102" t="s">
        <v>27</v>
      </c>
      <c r="L3102" t="b">
        <v>1</v>
      </c>
      <c r="M3102" t="s">
        <v>14961</v>
      </c>
      <c r="N3102" t="str">
        <f>"323.3"</f>
        <v>323.3</v>
      </c>
      <c r="P3102" t="b">
        <v>0</v>
      </c>
      <c r="Q3102" t="b">
        <v>0</v>
      </c>
      <c r="R3102" t="str">
        <f>"9780745319698"</f>
        <v>9780745319698</v>
      </c>
      <c r="S3102" t="str">
        <f>"9781435660670"</f>
        <v>9781435660670</v>
      </c>
      <c r="T3102">
        <v>654281243</v>
      </c>
    </row>
    <row r="3103" spans="1:20" x14ac:dyDescent="0.25">
      <c r="A3103">
        <v>167479</v>
      </c>
      <c r="B3103" t="s">
        <v>14962</v>
      </c>
      <c r="C3103" t="s">
        <v>14963</v>
      </c>
      <c r="D3103" t="s">
        <v>12141</v>
      </c>
      <c r="E3103" t="s">
        <v>12141</v>
      </c>
      <c r="F3103">
        <v>2007</v>
      </c>
      <c r="G3103" t="s">
        <v>9186</v>
      </c>
      <c r="H3103" t="s">
        <v>14964</v>
      </c>
      <c r="I3103" t="s">
        <v>14965</v>
      </c>
      <c r="J3103" t="s">
        <v>26</v>
      </c>
      <c r="K3103" t="s">
        <v>27</v>
      </c>
      <c r="L3103" t="b">
        <v>1</v>
      </c>
      <c r="M3103" t="s">
        <v>12144</v>
      </c>
      <c r="N3103" t="str">
        <f>"618.2/023"</f>
        <v>618.2/023</v>
      </c>
      <c r="O3103" t="s">
        <v>12145</v>
      </c>
      <c r="P3103" t="b">
        <v>0</v>
      </c>
      <c r="R3103" t="str">
        <f>"9781585114016"</f>
        <v>9781585114016</v>
      </c>
      <c r="S3103" t="str">
        <f>"9781429475778"</f>
        <v>9781429475778</v>
      </c>
      <c r="T3103">
        <v>144643235</v>
      </c>
    </row>
    <row r="3104" spans="1:20" x14ac:dyDescent="0.25">
      <c r="A3104">
        <v>167478</v>
      </c>
      <c r="B3104" t="s">
        <v>14966</v>
      </c>
      <c r="C3104" t="s">
        <v>14967</v>
      </c>
      <c r="D3104" t="s">
        <v>12141</v>
      </c>
      <c r="E3104" t="s">
        <v>12141</v>
      </c>
      <c r="F3104">
        <v>2007</v>
      </c>
      <c r="G3104" t="s">
        <v>12874</v>
      </c>
      <c r="H3104" t="s">
        <v>14968</v>
      </c>
      <c r="I3104" t="s">
        <v>14969</v>
      </c>
      <c r="J3104" t="s">
        <v>26</v>
      </c>
      <c r="K3104" t="s">
        <v>27</v>
      </c>
      <c r="L3104" t="b">
        <v>1</v>
      </c>
      <c r="M3104" t="s">
        <v>12144</v>
      </c>
      <c r="N3104" t="str">
        <f>"610.69023"</f>
        <v>610.69023</v>
      </c>
      <c r="O3104" t="s">
        <v>12145</v>
      </c>
      <c r="P3104" t="b">
        <v>0</v>
      </c>
      <c r="R3104" t="str">
        <f>"9781585114009"</f>
        <v>9781585114009</v>
      </c>
      <c r="S3104" t="str">
        <f>"9781429475747"</f>
        <v>9781429475747</v>
      </c>
      <c r="T3104">
        <v>144643170</v>
      </c>
    </row>
    <row r="3105" spans="1:20" x14ac:dyDescent="0.25">
      <c r="A3105">
        <v>167475</v>
      </c>
      <c r="B3105" t="s">
        <v>14970</v>
      </c>
      <c r="C3105" t="s">
        <v>14971</v>
      </c>
      <c r="D3105" t="s">
        <v>12141</v>
      </c>
      <c r="E3105" t="s">
        <v>12141</v>
      </c>
      <c r="F3105">
        <v>2007</v>
      </c>
      <c r="G3105" t="s">
        <v>349</v>
      </c>
      <c r="H3105" t="s">
        <v>14972</v>
      </c>
      <c r="I3105" t="s">
        <v>14973</v>
      </c>
      <c r="J3105" t="s">
        <v>26</v>
      </c>
      <c r="K3105" t="s">
        <v>27</v>
      </c>
      <c r="L3105" t="b">
        <v>1</v>
      </c>
      <c r="M3105" t="s">
        <v>12144</v>
      </c>
      <c r="N3105" t="str">
        <f>"620.8023"</f>
        <v>620.8023</v>
      </c>
      <c r="O3105" t="s">
        <v>12145</v>
      </c>
      <c r="P3105" t="b">
        <v>0</v>
      </c>
      <c r="R3105" t="str">
        <f>"9781585113132"</f>
        <v>9781585113132</v>
      </c>
      <c r="S3105" t="str">
        <f>"9781429475761"</f>
        <v>9781429475761</v>
      </c>
      <c r="T3105">
        <v>144643133</v>
      </c>
    </row>
    <row r="3106" spans="1:20" x14ac:dyDescent="0.25">
      <c r="A3106">
        <v>167474</v>
      </c>
      <c r="B3106" t="s">
        <v>14974</v>
      </c>
      <c r="C3106" t="s">
        <v>14975</v>
      </c>
      <c r="D3106" t="s">
        <v>12141</v>
      </c>
      <c r="E3106" t="s">
        <v>12141</v>
      </c>
      <c r="F3106">
        <v>2007</v>
      </c>
      <c r="G3106" t="s">
        <v>14976</v>
      </c>
      <c r="H3106" t="s">
        <v>14977</v>
      </c>
      <c r="I3106" t="s">
        <v>14978</v>
      </c>
      <c r="J3106" t="s">
        <v>26</v>
      </c>
      <c r="K3106" t="s">
        <v>27</v>
      </c>
      <c r="L3106" t="b">
        <v>1</v>
      </c>
      <c r="M3106" t="s">
        <v>12144</v>
      </c>
      <c r="N3106" t="str">
        <f>"615.5/023"</f>
        <v>615.5/023</v>
      </c>
      <c r="O3106" t="s">
        <v>12145</v>
      </c>
      <c r="P3106" t="b">
        <v>0</v>
      </c>
      <c r="R3106" t="str">
        <f>"9781585113118"</f>
        <v>9781585113118</v>
      </c>
      <c r="S3106" t="str">
        <f>"9781429477451"</f>
        <v>9781429477451</v>
      </c>
      <c r="T3106">
        <v>150937306</v>
      </c>
    </row>
    <row r="3107" spans="1:20" x14ac:dyDescent="0.25">
      <c r="A3107">
        <v>167473</v>
      </c>
      <c r="B3107" t="s">
        <v>14979</v>
      </c>
      <c r="C3107" t="s">
        <v>14980</v>
      </c>
      <c r="D3107" t="s">
        <v>12141</v>
      </c>
      <c r="E3107" t="s">
        <v>12141</v>
      </c>
      <c r="F3107">
        <v>2007</v>
      </c>
      <c r="G3107" t="s">
        <v>14981</v>
      </c>
      <c r="H3107" t="s">
        <v>14982</v>
      </c>
      <c r="I3107" t="s">
        <v>14983</v>
      </c>
      <c r="J3107" t="s">
        <v>26</v>
      </c>
      <c r="K3107" t="s">
        <v>27</v>
      </c>
      <c r="L3107" t="b">
        <v>1</v>
      </c>
      <c r="M3107" t="s">
        <v>12144</v>
      </c>
      <c r="N3107" t="str">
        <f>"616.02/5092"</f>
        <v>616.02/5092</v>
      </c>
      <c r="O3107" t="s">
        <v>12145</v>
      </c>
      <c r="P3107" t="b">
        <v>0</v>
      </c>
      <c r="R3107" t="str">
        <f>"9781585113064"</f>
        <v>9781585113064</v>
      </c>
      <c r="S3107" t="str">
        <f>"9781429477468"</f>
        <v>9781429477468</v>
      </c>
      <c r="T3107">
        <v>150917649</v>
      </c>
    </row>
    <row r="3108" spans="1:20" x14ac:dyDescent="0.25">
      <c r="A3108">
        <v>167472</v>
      </c>
      <c r="B3108" t="s">
        <v>14984</v>
      </c>
      <c r="C3108" t="s">
        <v>14985</v>
      </c>
      <c r="D3108" t="s">
        <v>12141</v>
      </c>
      <c r="E3108" t="s">
        <v>12141</v>
      </c>
      <c r="F3108">
        <v>2006</v>
      </c>
      <c r="G3108" t="s">
        <v>13758</v>
      </c>
      <c r="H3108" t="s">
        <v>14986</v>
      </c>
      <c r="I3108" t="s">
        <v>14987</v>
      </c>
      <c r="J3108" t="s">
        <v>26</v>
      </c>
      <c r="K3108" t="s">
        <v>27</v>
      </c>
      <c r="L3108" t="b">
        <v>1</v>
      </c>
      <c r="M3108" t="s">
        <v>12144</v>
      </c>
      <c r="N3108" t="str">
        <f>"658.5"</f>
        <v>658.5</v>
      </c>
      <c r="O3108" t="s">
        <v>12145</v>
      </c>
      <c r="P3108" t="b">
        <v>0</v>
      </c>
      <c r="R3108" t="str">
        <f>"9781585112722"</f>
        <v>9781585112722</v>
      </c>
      <c r="S3108" t="str">
        <f>"9781429412230"</f>
        <v>9781429412230</v>
      </c>
      <c r="T3108">
        <v>74847468</v>
      </c>
    </row>
    <row r="3109" spans="1:20" x14ac:dyDescent="0.25">
      <c r="A3109">
        <v>167468</v>
      </c>
      <c r="B3109" t="s">
        <v>14988</v>
      </c>
      <c r="C3109" t="s">
        <v>14989</v>
      </c>
      <c r="D3109" t="s">
        <v>12141</v>
      </c>
      <c r="E3109" t="s">
        <v>12141</v>
      </c>
      <c r="F3109">
        <v>2007</v>
      </c>
      <c r="G3109" t="s">
        <v>14990</v>
      </c>
      <c r="H3109" t="s">
        <v>14991</v>
      </c>
      <c r="I3109" t="s">
        <v>14992</v>
      </c>
      <c r="J3109" t="s">
        <v>26</v>
      </c>
      <c r="K3109" t="s">
        <v>27</v>
      </c>
      <c r="L3109" t="b">
        <v>1</v>
      </c>
      <c r="M3109" t="s">
        <v>12144</v>
      </c>
      <c r="N3109" t="str">
        <f>"651.5/04261"</f>
        <v>651.5/04261</v>
      </c>
      <c r="O3109" t="s">
        <v>12145</v>
      </c>
      <c r="P3109" t="b">
        <v>0</v>
      </c>
      <c r="R3109" t="str">
        <f>"9781585112005"</f>
        <v>9781585112005</v>
      </c>
      <c r="S3109" t="str">
        <f>"9781429477475"</f>
        <v>9781429477475</v>
      </c>
      <c r="T3109">
        <v>150901873</v>
      </c>
    </row>
    <row r="3110" spans="1:20" x14ac:dyDescent="0.25">
      <c r="A3110">
        <v>167463</v>
      </c>
      <c r="B3110" t="s">
        <v>14993</v>
      </c>
      <c r="C3110" t="s">
        <v>14994</v>
      </c>
      <c r="D3110" t="s">
        <v>12141</v>
      </c>
      <c r="E3110" t="s">
        <v>12141</v>
      </c>
      <c r="F3110">
        <v>2007</v>
      </c>
      <c r="G3110" t="s">
        <v>10740</v>
      </c>
      <c r="H3110" t="s">
        <v>14995</v>
      </c>
      <c r="I3110" t="s">
        <v>14996</v>
      </c>
      <c r="J3110" t="s">
        <v>26</v>
      </c>
      <c r="K3110" t="s">
        <v>27</v>
      </c>
      <c r="L3110" t="b">
        <v>1</v>
      </c>
      <c r="M3110" t="s">
        <v>12144</v>
      </c>
      <c r="N3110" t="str">
        <f>"610.72"</f>
        <v>610.72</v>
      </c>
      <c r="O3110" t="s">
        <v>12145</v>
      </c>
      <c r="P3110" t="b">
        <v>0</v>
      </c>
      <c r="R3110" t="str">
        <f>"9781585111480"</f>
        <v>9781585111480</v>
      </c>
      <c r="S3110" t="str">
        <f>"9781429477482"</f>
        <v>9781429477482</v>
      </c>
      <c r="T3110">
        <v>150879110</v>
      </c>
    </row>
    <row r="3111" spans="1:20" x14ac:dyDescent="0.25">
      <c r="A3111">
        <v>167460</v>
      </c>
      <c r="B3111" t="s">
        <v>14997</v>
      </c>
      <c r="C3111" t="s">
        <v>14998</v>
      </c>
      <c r="D3111" t="s">
        <v>12141</v>
      </c>
      <c r="E3111" t="s">
        <v>12141</v>
      </c>
      <c r="F3111">
        <v>2007</v>
      </c>
      <c r="G3111" t="s">
        <v>14999</v>
      </c>
      <c r="H3111" t="s">
        <v>15000</v>
      </c>
      <c r="I3111" t="s">
        <v>15001</v>
      </c>
      <c r="J3111" t="s">
        <v>26</v>
      </c>
      <c r="K3111" t="s">
        <v>27</v>
      </c>
      <c r="L3111" t="b">
        <v>1</v>
      </c>
      <c r="M3111" t="s">
        <v>12144</v>
      </c>
      <c r="N3111" t="str">
        <f>"770/.23/2"</f>
        <v>770/.23/2</v>
      </c>
      <c r="O3111" t="s">
        <v>12145</v>
      </c>
      <c r="P3111" t="b">
        <v>0</v>
      </c>
      <c r="R3111" t="str">
        <f>"9781585110476"</f>
        <v>9781585110476</v>
      </c>
      <c r="S3111" t="str">
        <f>"9781429477413"</f>
        <v>9781429477413</v>
      </c>
      <c r="T3111">
        <v>150575925</v>
      </c>
    </row>
    <row r="3112" spans="1:20" x14ac:dyDescent="0.25">
      <c r="A3112">
        <v>167394</v>
      </c>
      <c r="B3112" t="s">
        <v>15002</v>
      </c>
      <c r="C3112" t="s">
        <v>15003</v>
      </c>
      <c r="D3112" t="s">
        <v>2238</v>
      </c>
      <c r="E3112" t="s">
        <v>2239</v>
      </c>
      <c r="F3112">
        <v>2006</v>
      </c>
      <c r="G3112" t="s">
        <v>1016</v>
      </c>
      <c r="H3112" t="s">
        <v>15004</v>
      </c>
      <c r="I3112" t="s">
        <v>15005</v>
      </c>
      <c r="J3112" t="s">
        <v>26</v>
      </c>
      <c r="K3112" t="s">
        <v>86</v>
      </c>
      <c r="L3112" t="b">
        <v>1</v>
      </c>
      <c r="M3112" t="s">
        <v>15006</v>
      </c>
      <c r="N3112" t="str">
        <f>"373.1102"</f>
        <v>373.1102</v>
      </c>
      <c r="O3112" t="s">
        <v>15007</v>
      </c>
      <c r="P3112" t="b">
        <v>0</v>
      </c>
      <c r="R3112" t="str">
        <f>"9780805856323"</f>
        <v>9780805856323</v>
      </c>
      <c r="S3112" t="str">
        <f>"9781410617286"</f>
        <v>9781410617286</v>
      </c>
      <c r="T3112">
        <v>77521496</v>
      </c>
    </row>
    <row r="3113" spans="1:20" x14ac:dyDescent="0.25">
      <c r="A3113">
        <v>165095</v>
      </c>
      <c r="B3113" t="s">
        <v>15008</v>
      </c>
      <c r="D3113" t="s">
        <v>131</v>
      </c>
      <c r="E3113" t="s">
        <v>2389</v>
      </c>
      <c r="F3113">
        <v>2005</v>
      </c>
      <c r="G3113" t="s">
        <v>4378</v>
      </c>
      <c r="H3113" t="s">
        <v>15009</v>
      </c>
      <c r="I3113" t="s">
        <v>15010</v>
      </c>
      <c r="J3113" t="s">
        <v>26</v>
      </c>
      <c r="K3113" t="s">
        <v>86</v>
      </c>
      <c r="L3113" t="b">
        <v>1</v>
      </c>
      <c r="M3113" t="s">
        <v>8205</v>
      </c>
      <c r="N3113" t="str">
        <f>"111/.85"</f>
        <v>111/.85</v>
      </c>
      <c r="O3113" t="s">
        <v>2426</v>
      </c>
      <c r="P3113" t="b">
        <v>0</v>
      </c>
      <c r="R3113" t="str">
        <f>"9780823225408"</f>
        <v>9780823225408</v>
      </c>
      <c r="S3113" t="str">
        <f>"9781423796510"</f>
        <v>9781423796510</v>
      </c>
      <c r="T3113">
        <v>71011029</v>
      </c>
    </row>
    <row r="3114" spans="1:20" x14ac:dyDescent="0.25">
      <c r="A3114">
        <v>164992</v>
      </c>
      <c r="B3114" t="s">
        <v>15011</v>
      </c>
      <c r="C3114" t="s">
        <v>15012</v>
      </c>
      <c r="D3114" t="s">
        <v>6269</v>
      </c>
      <c r="E3114" t="s">
        <v>14381</v>
      </c>
      <c r="F3114">
        <v>2006</v>
      </c>
      <c r="G3114" t="s">
        <v>15013</v>
      </c>
      <c r="H3114" t="s">
        <v>15014</v>
      </c>
      <c r="I3114" t="s">
        <v>15015</v>
      </c>
      <c r="J3114" t="s">
        <v>26</v>
      </c>
      <c r="K3114" t="s">
        <v>27</v>
      </c>
      <c r="L3114" t="b">
        <v>1</v>
      </c>
      <c r="M3114" t="s">
        <v>15016</v>
      </c>
      <c r="N3114" t="str">
        <f>"005.5/5"</f>
        <v>005.5/5</v>
      </c>
      <c r="P3114" t="b">
        <v>0</v>
      </c>
      <c r="R3114" t="str">
        <f>"9781590479261"</f>
        <v>9781590479261</v>
      </c>
      <c r="S3114" t="str">
        <f>"9781599942063"</f>
        <v>9781599942063</v>
      </c>
      <c r="T3114">
        <v>77086559</v>
      </c>
    </row>
    <row r="3115" spans="1:20" x14ac:dyDescent="0.25">
      <c r="A3115">
        <v>164485</v>
      </c>
      <c r="B3115" t="s">
        <v>15017</v>
      </c>
      <c r="C3115" t="s">
        <v>15018</v>
      </c>
      <c r="D3115" t="s">
        <v>8514</v>
      </c>
      <c r="E3115" t="s">
        <v>8515</v>
      </c>
      <c r="F3115">
        <v>2006</v>
      </c>
      <c r="G3115" t="s">
        <v>12102</v>
      </c>
      <c r="H3115" t="s">
        <v>15019</v>
      </c>
      <c r="I3115" t="s">
        <v>15020</v>
      </c>
      <c r="J3115" t="s">
        <v>26</v>
      </c>
      <c r="K3115" t="s">
        <v>27</v>
      </c>
      <c r="L3115" t="b">
        <v>1</v>
      </c>
      <c r="M3115" t="s">
        <v>15021</v>
      </c>
      <c r="N3115" t="str">
        <f>"530.11092/2"</f>
        <v>530.11092/2</v>
      </c>
      <c r="P3115" t="b">
        <v>0</v>
      </c>
      <c r="Q3115" t="b">
        <v>0</v>
      </c>
      <c r="R3115" t="str">
        <f>"9780973291131"</f>
        <v>9780973291131</v>
      </c>
      <c r="S3115" t="str">
        <f>"9781423791171"</f>
        <v>9781423791171</v>
      </c>
      <c r="T3115">
        <v>70826696</v>
      </c>
    </row>
    <row r="3116" spans="1:20" x14ac:dyDescent="0.25">
      <c r="A3116">
        <v>164167</v>
      </c>
      <c r="B3116" t="s">
        <v>15022</v>
      </c>
      <c r="C3116" t="s">
        <v>15023</v>
      </c>
      <c r="D3116" t="s">
        <v>15024</v>
      </c>
      <c r="E3116" t="s">
        <v>15025</v>
      </c>
      <c r="F3116">
        <v>1999</v>
      </c>
      <c r="G3116" t="s">
        <v>4132</v>
      </c>
      <c r="H3116" t="s">
        <v>15026</v>
      </c>
      <c r="I3116" t="s">
        <v>15027</v>
      </c>
      <c r="J3116" t="s">
        <v>26</v>
      </c>
      <c r="K3116" t="s">
        <v>27</v>
      </c>
      <c r="L3116" t="b">
        <v>1</v>
      </c>
      <c r="M3116" t="s">
        <v>15028</v>
      </c>
      <c r="N3116" t="str">
        <f>"333.91"</f>
        <v>333.91</v>
      </c>
      <c r="P3116" t="b">
        <v>0</v>
      </c>
      <c r="R3116" t="str">
        <f>"9780419222903"</f>
        <v>9780419222903</v>
      </c>
      <c r="S3116" t="str">
        <f>"9780203027851"</f>
        <v>9780203027851</v>
      </c>
      <c r="T3116">
        <v>70886756</v>
      </c>
    </row>
    <row r="3117" spans="1:20" x14ac:dyDescent="0.25">
      <c r="A3117">
        <v>162421</v>
      </c>
      <c r="B3117" t="s">
        <v>15029</v>
      </c>
      <c r="D3117" t="s">
        <v>9272</v>
      </c>
      <c r="E3117" t="s">
        <v>9273</v>
      </c>
      <c r="F3117">
        <v>2001</v>
      </c>
      <c r="G3117" t="s">
        <v>349</v>
      </c>
      <c r="H3117" t="s">
        <v>15030</v>
      </c>
      <c r="I3117" t="s">
        <v>15031</v>
      </c>
      <c r="J3117" t="s">
        <v>26</v>
      </c>
      <c r="K3117" t="s">
        <v>27</v>
      </c>
      <c r="L3117" t="b">
        <v>1</v>
      </c>
      <c r="M3117" t="s">
        <v>15032</v>
      </c>
      <c r="N3117" t="str">
        <f>"620.0068"</f>
        <v>620.0068</v>
      </c>
      <c r="P3117" t="b">
        <v>0</v>
      </c>
      <c r="R3117" t="str">
        <f>"9781854181992"</f>
        <v>9781854181992</v>
      </c>
      <c r="S3117" t="str">
        <f>"9781423787044"</f>
        <v>9781423787044</v>
      </c>
      <c r="T3117">
        <v>70295824</v>
      </c>
    </row>
    <row r="3118" spans="1:20" x14ac:dyDescent="0.25">
      <c r="A3118">
        <v>162330</v>
      </c>
      <c r="B3118" t="s">
        <v>14007</v>
      </c>
      <c r="D3118" t="s">
        <v>13054</v>
      </c>
      <c r="E3118" t="s">
        <v>13055</v>
      </c>
      <c r="F3118">
        <v>2006</v>
      </c>
      <c r="G3118" t="s">
        <v>1054</v>
      </c>
      <c r="H3118" t="s">
        <v>15033</v>
      </c>
      <c r="I3118" t="s">
        <v>15034</v>
      </c>
      <c r="J3118" t="s">
        <v>26</v>
      </c>
      <c r="K3118" t="s">
        <v>27</v>
      </c>
      <c r="L3118" t="b">
        <v>1</v>
      </c>
      <c r="M3118" t="s">
        <v>15035</v>
      </c>
      <c r="N3118" t="str">
        <f>"616.1/32"</f>
        <v>616.1/32</v>
      </c>
      <c r="P3118" t="b">
        <v>0</v>
      </c>
      <c r="R3118" t="str">
        <f>"9781904392569"</f>
        <v>9781904392569</v>
      </c>
      <c r="S3118" t="str">
        <f>"9781846925580"</f>
        <v>9781846925580</v>
      </c>
      <c r="T3118">
        <v>77858212</v>
      </c>
    </row>
    <row r="3119" spans="1:20" x14ac:dyDescent="0.25">
      <c r="A3119">
        <v>162329</v>
      </c>
      <c r="B3119" t="s">
        <v>15036</v>
      </c>
      <c r="D3119" t="s">
        <v>13054</v>
      </c>
      <c r="E3119" t="s">
        <v>13055</v>
      </c>
      <c r="F3119">
        <v>2006</v>
      </c>
      <c r="G3119" t="s">
        <v>1054</v>
      </c>
      <c r="H3119" t="s">
        <v>15037</v>
      </c>
      <c r="I3119" t="s">
        <v>15038</v>
      </c>
      <c r="J3119" t="s">
        <v>26</v>
      </c>
      <c r="K3119" t="s">
        <v>27</v>
      </c>
      <c r="L3119" t="b">
        <v>1</v>
      </c>
      <c r="M3119" t="s">
        <v>15039</v>
      </c>
      <c r="N3119" t="str">
        <f>"616.13506"</f>
        <v>616.13506</v>
      </c>
      <c r="P3119" t="b">
        <v>0</v>
      </c>
      <c r="R3119" t="str">
        <f>"9781904392347"</f>
        <v>9781904392347</v>
      </c>
      <c r="S3119" t="str">
        <f>"9781846925436"</f>
        <v>9781846925436</v>
      </c>
      <c r="T3119">
        <v>78052508</v>
      </c>
    </row>
    <row r="3120" spans="1:20" x14ac:dyDescent="0.25">
      <c r="A3120">
        <v>162328</v>
      </c>
      <c r="B3120" t="s">
        <v>15040</v>
      </c>
      <c r="D3120" t="s">
        <v>13054</v>
      </c>
      <c r="E3120" t="s">
        <v>13055</v>
      </c>
      <c r="F3120">
        <v>2005</v>
      </c>
      <c r="G3120" t="s">
        <v>10034</v>
      </c>
      <c r="H3120" t="s">
        <v>15041</v>
      </c>
      <c r="I3120" t="s">
        <v>15042</v>
      </c>
      <c r="J3120" t="s">
        <v>26</v>
      </c>
      <c r="K3120" t="s">
        <v>27</v>
      </c>
      <c r="L3120" t="b">
        <v>1</v>
      </c>
      <c r="M3120" t="s">
        <v>15043</v>
      </c>
      <c r="N3120" t="str">
        <f>"616.2"</f>
        <v>616.2</v>
      </c>
      <c r="P3120" t="b">
        <v>0</v>
      </c>
      <c r="R3120" t="str">
        <f>"9781904392538"</f>
        <v>9781904392538</v>
      </c>
      <c r="S3120" t="str">
        <f>"9781423799962"</f>
        <v>9781423799962</v>
      </c>
      <c r="T3120">
        <v>77861247</v>
      </c>
    </row>
    <row r="3121" spans="1:20" x14ac:dyDescent="0.25">
      <c r="A3121">
        <v>162327</v>
      </c>
      <c r="B3121" t="s">
        <v>15044</v>
      </c>
      <c r="C3121" t="s">
        <v>15045</v>
      </c>
      <c r="D3121" t="s">
        <v>13054</v>
      </c>
      <c r="E3121" t="s">
        <v>13055</v>
      </c>
      <c r="F3121">
        <v>2005</v>
      </c>
      <c r="G3121" t="s">
        <v>8669</v>
      </c>
      <c r="H3121" t="s">
        <v>15046</v>
      </c>
      <c r="I3121" t="s">
        <v>15047</v>
      </c>
      <c r="J3121" t="s">
        <v>26</v>
      </c>
      <c r="K3121" t="s">
        <v>27</v>
      </c>
      <c r="L3121" t="b">
        <v>1</v>
      </c>
      <c r="M3121" t="s">
        <v>15048</v>
      </c>
      <c r="N3121" t="str">
        <f>"616.99/446"</f>
        <v>616.99/446</v>
      </c>
      <c r="P3121" t="b">
        <v>0</v>
      </c>
      <c r="R3121" t="str">
        <f>"9781904392521"</f>
        <v>9781904392521</v>
      </c>
      <c r="S3121" t="str">
        <f>"9781846925566"</f>
        <v>9781846925566</v>
      </c>
      <c r="T3121">
        <v>71683623</v>
      </c>
    </row>
    <row r="3122" spans="1:20" x14ac:dyDescent="0.25">
      <c r="A3122">
        <v>162325</v>
      </c>
      <c r="B3122" t="s">
        <v>15049</v>
      </c>
      <c r="C3122" t="s">
        <v>13053</v>
      </c>
      <c r="D3122" t="s">
        <v>13054</v>
      </c>
      <c r="E3122" t="s">
        <v>13055</v>
      </c>
      <c r="F3122">
        <v>2005</v>
      </c>
      <c r="G3122" t="s">
        <v>13851</v>
      </c>
      <c r="H3122" t="s">
        <v>15050</v>
      </c>
      <c r="I3122" t="s">
        <v>15051</v>
      </c>
      <c r="J3122" t="s">
        <v>26</v>
      </c>
      <c r="K3122" t="s">
        <v>27</v>
      </c>
      <c r="L3122" t="b">
        <v>1</v>
      </c>
      <c r="M3122" t="s">
        <v>15052</v>
      </c>
      <c r="N3122" t="str">
        <f>"616.97"</f>
        <v>616.97</v>
      </c>
      <c r="P3122" t="b">
        <v>0</v>
      </c>
      <c r="R3122" t="str">
        <f>"9781904392248"</f>
        <v>9781904392248</v>
      </c>
      <c r="S3122" t="str">
        <f>"9781846925337"</f>
        <v>9781846925337</v>
      </c>
      <c r="T3122">
        <v>70550422</v>
      </c>
    </row>
    <row r="3123" spans="1:20" x14ac:dyDescent="0.25">
      <c r="A3123">
        <v>162324</v>
      </c>
      <c r="B3123" t="s">
        <v>15053</v>
      </c>
      <c r="C3123" t="s">
        <v>13856</v>
      </c>
      <c r="D3123" t="s">
        <v>13054</v>
      </c>
      <c r="E3123" t="s">
        <v>13055</v>
      </c>
      <c r="F3123">
        <v>2005</v>
      </c>
      <c r="G3123" t="s">
        <v>8695</v>
      </c>
      <c r="H3123" t="s">
        <v>15054</v>
      </c>
      <c r="I3123" t="s">
        <v>15055</v>
      </c>
      <c r="J3123" t="s">
        <v>26</v>
      </c>
      <c r="K3123" t="s">
        <v>27</v>
      </c>
      <c r="L3123" t="b">
        <v>1</v>
      </c>
      <c r="M3123" t="s">
        <v>15056</v>
      </c>
      <c r="N3123" t="str">
        <f>"616.7223075"</f>
        <v>616.7223075</v>
      </c>
      <c r="P3123" t="b">
        <v>0</v>
      </c>
      <c r="R3123" t="str">
        <f>"9781904392163"</f>
        <v>9781904392163</v>
      </c>
      <c r="S3123" t="str">
        <f>"9781846925252"</f>
        <v>9781846925252</v>
      </c>
      <c r="T3123">
        <v>283807105</v>
      </c>
    </row>
    <row r="3124" spans="1:20" x14ac:dyDescent="0.25">
      <c r="A3124">
        <v>162323</v>
      </c>
      <c r="B3124" t="s">
        <v>15057</v>
      </c>
      <c r="D3124" t="s">
        <v>13054</v>
      </c>
      <c r="E3124" t="s">
        <v>13055</v>
      </c>
      <c r="F3124">
        <v>2005</v>
      </c>
      <c r="G3124" t="s">
        <v>10133</v>
      </c>
      <c r="H3124" t="s">
        <v>15058</v>
      </c>
      <c r="I3124" t="s">
        <v>15059</v>
      </c>
      <c r="J3124" t="s">
        <v>26</v>
      </c>
      <c r="K3124" t="s">
        <v>27</v>
      </c>
      <c r="L3124" t="b">
        <v>1</v>
      </c>
      <c r="M3124" t="s">
        <v>15060</v>
      </c>
      <c r="N3124" t="str">
        <f>"615/.1"</f>
        <v>615/.1</v>
      </c>
      <c r="P3124" t="b">
        <v>0</v>
      </c>
      <c r="R3124" t="str">
        <f>"9781904392507"</f>
        <v>9781904392507</v>
      </c>
      <c r="S3124" t="str">
        <f>"9781846925559"</f>
        <v>9781846925559</v>
      </c>
      <c r="T3124">
        <v>71756525</v>
      </c>
    </row>
    <row r="3125" spans="1:20" x14ac:dyDescent="0.25">
      <c r="A3125">
        <v>162318</v>
      </c>
      <c r="B3125" t="s">
        <v>15061</v>
      </c>
      <c r="D3125" t="s">
        <v>13054</v>
      </c>
      <c r="E3125" t="s">
        <v>13055</v>
      </c>
      <c r="F3125">
        <v>2004</v>
      </c>
      <c r="G3125" t="s">
        <v>5567</v>
      </c>
      <c r="H3125" t="s">
        <v>15062</v>
      </c>
      <c r="I3125" t="s">
        <v>15063</v>
      </c>
      <c r="J3125" t="s">
        <v>26</v>
      </c>
      <c r="K3125" t="s">
        <v>27</v>
      </c>
      <c r="L3125" t="b">
        <v>1</v>
      </c>
      <c r="M3125" t="s">
        <v>15064</v>
      </c>
      <c r="N3125" t="str">
        <f>"616.0082"</f>
        <v>616.0082</v>
      </c>
      <c r="P3125" t="b">
        <v>0</v>
      </c>
      <c r="R3125" t="str">
        <f>"9781904392231"</f>
        <v>9781904392231</v>
      </c>
      <c r="S3125" t="str">
        <f>"9781846925320"</f>
        <v>9781846925320</v>
      </c>
      <c r="T3125">
        <v>173184206</v>
      </c>
    </row>
    <row r="3126" spans="1:20" x14ac:dyDescent="0.25">
      <c r="A3126">
        <v>160415</v>
      </c>
      <c r="B3126" t="s">
        <v>15065</v>
      </c>
      <c r="D3126" t="s">
        <v>2238</v>
      </c>
      <c r="E3126" t="s">
        <v>2239</v>
      </c>
      <c r="F3126">
        <v>1958</v>
      </c>
      <c r="G3126" t="s">
        <v>571</v>
      </c>
      <c r="H3126" t="s">
        <v>15066</v>
      </c>
      <c r="I3126" t="s">
        <v>15067</v>
      </c>
      <c r="J3126" t="s">
        <v>26</v>
      </c>
      <c r="K3126" t="s">
        <v>86</v>
      </c>
      <c r="L3126" t="b">
        <v>1</v>
      </c>
      <c r="M3126" t="s">
        <v>15068</v>
      </c>
      <c r="N3126" t="str">
        <f>"201.6"</f>
        <v>201.6</v>
      </c>
      <c r="O3126" t="s">
        <v>15069</v>
      </c>
      <c r="P3126" t="b">
        <v>0</v>
      </c>
      <c r="R3126" t="str">
        <f>"9780415175890"</f>
        <v>9780415175890</v>
      </c>
      <c r="S3126" t="str">
        <f>"9780203001271"</f>
        <v>9780203001271</v>
      </c>
      <c r="T3126">
        <v>69362271</v>
      </c>
    </row>
    <row r="3127" spans="1:20" x14ac:dyDescent="0.25">
      <c r="A3127">
        <v>156798</v>
      </c>
      <c r="B3127" t="s">
        <v>15070</v>
      </c>
      <c r="C3127" t="s">
        <v>15071</v>
      </c>
      <c r="D3127" t="s">
        <v>5828</v>
      </c>
      <c r="E3127" t="s">
        <v>12469</v>
      </c>
      <c r="F3127">
        <v>2004</v>
      </c>
      <c r="G3127" t="s">
        <v>15072</v>
      </c>
      <c r="H3127" t="s">
        <v>15073</v>
      </c>
      <c r="I3127" t="s">
        <v>15074</v>
      </c>
      <c r="J3127" t="s">
        <v>26</v>
      </c>
      <c r="K3127" t="s">
        <v>27</v>
      </c>
      <c r="L3127" t="b">
        <v>1</v>
      </c>
      <c r="M3127" t="s">
        <v>15075</v>
      </c>
      <c r="N3127" t="str">
        <f>"264"</f>
        <v>264</v>
      </c>
      <c r="O3127" t="s">
        <v>15076</v>
      </c>
      <c r="P3127" t="b">
        <v>0</v>
      </c>
      <c r="S3127" t="str">
        <f>"9780191554940"</f>
        <v>9780191554940</v>
      </c>
      <c r="T3127">
        <v>67316770</v>
      </c>
    </row>
    <row r="3128" spans="1:20" x14ac:dyDescent="0.25">
      <c r="A3128">
        <v>156673</v>
      </c>
      <c r="B3128" t="s">
        <v>15077</v>
      </c>
      <c r="C3128" t="s">
        <v>15078</v>
      </c>
      <c r="D3128" t="s">
        <v>12141</v>
      </c>
      <c r="E3128" t="s">
        <v>12141</v>
      </c>
      <c r="F3128">
        <v>2006</v>
      </c>
      <c r="G3128" t="s">
        <v>8643</v>
      </c>
      <c r="H3128" t="s">
        <v>15079</v>
      </c>
      <c r="I3128" t="s">
        <v>15080</v>
      </c>
      <c r="J3128" t="s">
        <v>26</v>
      </c>
      <c r="K3128" t="s">
        <v>27</v>
      </c>
      <c r="L3128" t="b">
        <v>1</v>
      </c>
      <c r="M3128" t="s">
        <v>12144</v>
      </c>
      <c r="N3128" t="str">
        <f>"004.023"</f>
        <v>004.023</v>
      </c>
      <c r="O3128" t="s">
        <v>12145</v>
      </c>
      <c r="P3128" t="b">
        <v>0</v>
      </c>
      <c r="R3128" t="str">
        <f>"9781585113996"</f>
        <v>9781585113996</v>
      </c>
      <c r="S3128" t="str">
        <f>"9781423799306"</f>
        <v>9781423799306</v>
      </c>
      <c r="T3128">
        <v>71324770</v>
      </c>
    </row>
    <row r="3129" spans="1:20" x14ac:dyDescent="0.25">
      <c r="A3129">
        <v>156672</v>
      </c>
      <c r="B3129" t="s">
        <v>15081</v>
      </c>
      <c r="C3129" t="s">
        <v>15082</v>
      </c>
      <c r="D3129" t="s">
        <v>12141</v>
      </c>
      <c r="E3129" t="s">
        <v>12141</v>
      </c>
      <c r="F3129">
        <v>2006</v>
      </c>
      <c r="G3129" t="s">
        <v>8981</v>
      </c>
      <c r="H3129" t="s">
        <v>15083</v>
      </c>
      <c r="I3129" t="s">
        <v>15084</v>
      </c>
      <c r="J3129" t="s">
        <v>26</v>
      </c>
      <c r="K3129" t="s">
        <v>27</v>
      </c>
      <c r="L3129" t="b">
        <v>1</v>
      </c>
      <c r="M3129" t="s">
        <v>12144</v>
      </c>
      <c r="N3129" t="str">
        <f>"616.07/9/023"</f>
        <v>616.07/9/023</v>
      </c>
      <c r="O3129" t="s">
        <v>12145</v>
      </c>
      <c r="P3129" t="b">
        <v>0</v>
      </c>
      <c r="R3129" t="str">
        <f>"9781585113989"</f>
        <v>9781585113989</v>
      </c>
      <c r="S3129" t="str">
        <f>"9781423799528"</f>
        <v>9781423799528</v>
      </c>
      <c r="T3129">
        <v>71360291</v>
      </c>
    </row>
    <row r="3130" spans="1:20" x14ac:dyDescent="0.25">
      <c r="A3130">
        <v>156671</v>
      </c>
      <c r="B3130" t="s">
        <v>15085</v>
      </c>
      <c r="D3130" t="s">
        <v>12141</v>
      </c>
      <c r="E3130" t="s">
        <v>12141</v>
      </c>
      <c r="F3130">
        <v>2006</v>
      </c>
      <c r="G3130" t="s">
        <v>15086</v>
      </c>
      <c r="H3130" t="s">
        <v>15087</v>
      </c>
      <c r="I3130" t="s">
        <v>15088</v>
      </c>
      <c r="J3130" t="s">
        <v>26</v>
      </c>
      <c r="K3130" t="s">
        <v>27</v>
      </c>
      <c r="L3130" t="b">
        <v>1</v>
      </c>
      <c r="M3130" t="s">
        <v>12144</v>
      </c>
      <c r="N3130" t="str">
        <f>"616.02/8/02373"</f>
        <v>616.02/8/02373</v>
      </c>
      <c r="O3130" t="s">
        <v>12145</v>
      </c>
      <c r="P3130" t="b">
        <v>0</v>
      </c>
      <c r="R3130" t="str">
        <f>"9781585113972"</f>
        <v>9781585113972</v>
      </c>
      <c r="S3130" t="str">
        <f>"9781423799535"</f>
        <v>9781423799535</v>
      </c>
      <c r="T3130">
        <v>71360283</v>
      </c>
    </row>
    <row r="3131" spans="1:20" x14ac:dyDescent="0.25">
      <c r="A3131">
        <v>156668</v>
      </c>
      <c r="B3131" t="s">
        <v>15089</v>
      </c>
      <c r="C3131" t="s">
        <v>15090</v>
      </c>
      <c r="D3131" t="s">
        <v>12141</v>
      </c>
      <c r="E3131" t="s">
        <v>12141</v>
      </c>
      <c r="F3131">
        <v>2006</v>
      </c>
      <c r="G3131" t="s">
        <v>4688</v>
      </c>
      <c r="H3131" t="s">
        <v>15091</v>
      </c>
      <c r="I3131" t="s">
        <v>15092</v>
      </c>
      <c r="J3131" t="s">
        <v>26</v>
      </c>
      <c r="K3131" t="s">
        <v>27</v>
      </c>
      <c r="L3131" t="b">
        <v>1</v>
      </c>
      <c r="M3131" t="s">
        <v>12144</v>
      </c>
      <c r="N3131" t="str">
        <f>"576.5/023"</f>
        <v>576.5/023</v>
      </c>
      <c r="O3131" t="s">
        <v>12145</v>
      </c>
      <c r="P3131" t="b">
        <v>0</v>
      </c>
      <c r="R3131" t="str">
        <f>"9781585113002"</f>
        <v>9781585113002</v>
      </c>
      <c r="S3131" t="str">
        <f>"9781423799436"</f>
        <v>9781423799436</v>
      </c>
      <c r="T3131">
        <v>71321985</v>
      </c>
    </row>
    <row r="3132" spans="1:20" x14ac:dyDescent="0.25">
      <c r="A3132">
        <v>156663</v>
      </c>
      <c r="B3132" t="s">
        <v>15093</v>
      </c>
      <c r="C3132" t="s">
        <v>15094</v>
      </c>
      <c r="D3132" t="s">
        <v>12141</v>
      </c>
      <c r="E3132" t="s">
        <v>12141</v>
      </c>
      <c r="F3132">
        <v>2006</v>
      </c>
      <c r="G3132" t="s">
        <v>9176</v>
      </c>
      <c r="H3132" t="s">
        <v>15095</v>
      </c>
      <c r="I3132" t="s">
        <v>15096</v>
      </c>
      <c r="J3132" t="s">
        <v>26</v>
      </c>
      <c r="K3132" t="s">
        <v>27</v>
      </c>
      <c r="L3132" t="b">
        <v>1</v>
      </c>
      <c r="M3132" t="s">
        <v>12144</v>
      </c>
      <c r="N3132" t="str">
        <f>"617/.03/023"</f>
        <v>617/.03/023</v>
      </c>
      <c r="O3132" t="s">
        <v>12145</v>
      </c>
      <c r="P3132" t="b">
        <v>0</v>
      </c>
      <c r="R3132" t="str">
        <f>"9781585112395"</f>
        <v>9781585112395</v>
      </c>
      <c r="S3132" t="str">
        <f>"9781423799450"</f>
        <v>9781423799450</v>
      </c>
      <c r="T3132">
        <v>71360259</v>
      </c>
    </row>
    <row r="3133" spans="1:20" x14ac:dyDescent="0.25">
      <c r="A3133">
        <v>156662</v>
      </c>
      <c r="B3133" t="s">
        <v>15097</v>
      </c>
      <c r="C3133" t="s">
        <v>15098</v>
      </c>
      <c r="D3133" t="s">
        <v>12141</v>
      </c>
      <c r="E3133" t="s">
        <v>12141</v>
      </c>
      <c r="F3133">
        <v>2006</v>
      </c>
      <c r="G3133" t="s">
        <v>15099</v>
      </c>
      <c r="H3133" t="s">
        <v>15100</v>
      </c>
      <c r="I3133" t="s">
        <v>15101</v>
      </c>
      <c r="J3133" t="s">
        <v>26</v>
      </c>
      <c r="K3133" t="s">
        <v>27</v>
      </c>
      <c r="L3133" t="b">
        <v>1</v>
      </c>
      <c r="M3133" t="s">
        <v>12144</v>
      </c>
      <c r="N3133" t="str">
        <f>"629.28/7/023"</f>
        <v>629.28/7/023</v>
      </c>
      <c r="O3133" t="s">
        <v>12145</v>
      </c>
      <c r="P3133" t="b">
        <v>0</v>
      </c>
      <c r="R3133" t="str">
        <f>"9781585112111"</f>
        <v>9781585112111</v>
      </c>
      <c r="S3133" t="str">
        <f>"9781423799382"</f>
        <v>9781423799382</v>
      </c>
      <c r="T3133">
        <v>71361004</v>
      </c>
    </row>
    <row r="3134" spans="1:20" x14ac:dyDescent="0.25">
      <c r="A3134">
        <v>156661</v>
      </c>
      <c r="B3134" t="s">
        <v>15102</v>
      </c>
      <c r="C3134" t="s">
        <v>15103</v>
      </c>
      <c r="D3134" t="s">
        <v>12141</v>
      </c>
      <c r="E3134" t="s">
        <v>12141</v>
      </c>
      <c r="F3134">
        <v>2006</v>
      </c>
      <c r="G3134" t="s">
        <v>13067</v>
      </c>
      <c r="H3134" t="s">
        <v>15104</v>
      </c>
      <c r="I3134" t="s">
        <v>15105</v>
      </c>
      <c r="J3134" t="s">
        <v>26</v>
      </c>
      <c r="K3134" t="s">
        <v>27</v>
      </c>
      <c r="L3134" t="b">
        <v>1</v>
      </c>
      <c r="M3134" t="s">
        <v>12144</v>
      </c>
      <c r="N3134" t="str">
        <f>"670/.23"</f>
        <v>670/.23</v>
      </c>
      <c r="O3134" t="s">
        <v>12145</v>
      </c>
      <c r="P3134" t="b">
        <v>0</v>
      </c>
      <c r="R3134" t="str">
        <f>"9781585112067"</f>
        <v>9781585112067</v>
      </c>
      <c r="S3134" t="str">
        <f>"9781423799399"</f>
        <v>9781423799399</v>
      </c>
      <c r="T3134">
        <v>71323217</v>
      </c>
    </row>
    <row r="3135" spans="1:20" x14ac:dyDescent="0.25">
      <c r="A3135">
        <v>156660</v>
      </c>
      <c r="B3135" t="s">
        <v>15106</v>
      </c>
      <c r="C3135" t="s">
        <v>15107</v>
      </c>
      <c r="D3135" t="s">
        <v>12141</v>
      </c>
      <c r="E3135" t="s">
        <v>12141</v>
      </c>
      <c r="F3135">
        <v>2002</v>
      </c>
      <c r="G3135" t="s">
        <v>5739</v>
      </c>
      <c r="H3135" t="s">
        <v>15108</v>
      </c>
      <c r="I3135" t="s">
        <v>15109</v>
      </c>
      <c r="J3135" t="s">
        <v>26</v>
      </c>
      <c r="K3135" t="s">
        <v>27</v>
      </c>
      <c r="L3135" t="b">
        <v>1</v>
      </c>
      <c r="M3135" t="s">
        <v>12144</v>
      </c>
      <c r="N3135" t="str">
        <f>"664/.752/0973"</f>
        <v>664/.752/0973</v>
      </c>
      <c r="O3135" t="s">
        <v>12145</v>
      </c>
      <c r="P3135" t="b">
        <v>0</v>
      </c>
      <c r="R3135" t="str">
        <f>"9781585111961"</f>
        <v>9781585111961</v>
      </c>
      <c r="S3135" t="str">
        <f>"9781423799290"</f>
        <v>9781423799290</v>
      </c>
      <c r="T3135">
        <v>71360945</v>
      </c>
    </row>
    <row r="3136" spans="1:20" x14ac:dyDescent="0.25">
      <c r="A3136">
        <v>156656</v>
      </c>
      <c r="B3136" t="s">
        <v>15110</v>
      </c>
      <c r="C3136" t="s">
        <v>15111</v>
      </c>
      <c r="D3136" t="s">
        <v>12141</v>
      </c>
      <c r="E3136" t="s">
        <v>12141</v>
      </c>
      <c r="F3136">
        <v>2006</v>
      </c>
      <c r="G3136" t="s">
        <v>15112</v>
      </c>
      <c r="H3136" t="s">
        <v>15113</v>
      </c>
      <c r="I3136" t="s">
        <v>15114</v>
      </c>
      <c r="J3136" t="s">
        <v>26</v>
      </c>
      <c r="K3136" t="s">
        <v>27</v>
      </c>
      <c r="L3136" t="b">
        <v>1</v>
      </c>
      <c r="M3136" t="s">
        <v>12144</v>
      </c>
      <c r="N3136" t="str">
        <f>"694/.023"</f>
        <v>694/.023</v>
      </c>
      <c r="O3136" t="s">
        <v>12145</v>
      </c>
      <c r="P3136" t="b">
        <v>0</v>
      </c>
      <c r="R3136" t="str">
        <f>"9781585111381"</f>
        <v>9781585111381</v>
      </c>
      <c r="S3136" t="str">
        <f>"9781423799412"</f>
        <v>9781423799412</v>
      </c>
      <c r="T3136">
        <v>71300953</v>
      </c>
    </row>
    <row r="3137" spans="1:20" x14ac:dyDescent="0.25">
      <c r="A3137">
        <v>156627</v>
      </c>
      <c r="B3137" t="s">
        <v>15115</v>
      </c>
      <c r="D3137" t="s">
        <v>6269</v>
      </c>
      <c r="E3137" t="s">
        <v>6269</v>
      </c>
      <c r="F3137">
        <v>2006</v>
      </c>
      <c r="G3137" t="s">
        <v>15013</v>
      </c>
      <c r="H3137" t="s">
        <v>15116</v>
      </c>
      <c r="I3137" t="s">
        <v>15117</v>
      </c>
      <c r="J3137" t="s">
        <v>26</v>
      </c>
      <c r="K3137" t="s">
        <v>27</v>
      </c>
      <c r="L3137" t="b">
        <v>1</v>
      </c>
      <c r="M3137" t="s">
        <v>15118</v>
      </c>
      <c r="N3137" t="str">
        <f>"005.5/5"</f>
        <v>005.5/5</v>
      </c>
      <c r="P3137" t="b">
        <v>0</v>
      </c>
      <c r="R3137" t="str">
        <f>"9781590475003"</f>
        <v>9781590475003</v>
      </c>
      <c r="S3137" t="str">
        <f>"9781599940786"</f>
        <v>9781599940786</v>
      </c>
      <c r="T3137">
        <v>70082618</v>
      </c>
    </row>
    <row r="3138" spans="1:20" x14ac:dyDescent="0.25">
      <c r="A3138">
        <v>152430</v>
      </c>
      <c r="B3138" t="s">
        <v>15119</v>
      </c>
      <c r="C3138" t="s">
        <v>15120</v>
      </c>
      <c r="D3138" t="s">
        <v>10310</v>
      </c>
      <c r="E3138" t="s">
        <v>10310</v>
      </c>
      <c r="F3138">
        <v>2005</v>
      </c>
      <c r="G3138" t="s">
        <v>9186</v>
      </c>
      <c r="H3138" t="s">
        <v>15121</v>
      </c>
      <c r="I3138" t="s">
        <v>15122</v>
      </c>
      <c r="J3138" t="s">
        <v>26</v>
      </c>
      <c r="K3138" t="s">
        <v>27</v>
      </c>
      <c r="L3138" t="b">
        <v>1</v>
      </c>
      <c r="M3138" t="s">
        <v>15123</v>
      </c>
      <c r="N3138" t="str">
        <f>"618.2/009613"</f>
        <v>618.2/009613</v>
      </c>
      <c r="P3138" t="b">
        <v>0</v>
      </c>
      <c r="R3138" t="str">
        <f>"9780826514967"</f>
        <v>9780826514967</v>
      </c>
      <c r="S3138" t="str">
        <f>"9781423781165"</f>
        <v>9781423781165</v>
      </c>
      <c r="T3138">
        <v>70179426</v>
      </c>
    </row>
    <row r="3139" spans="1:20" x14ac:dyDescent="0.25">
      <c r="A3139">
        <v>152429</v>
      </c>
      <c r="B3139" t="s">
        <v>15124</v>
      </c>
      <c r="C3139" t="s">
        <v>15125</v>
      </c>
      <c r="D3139" t="s">
        <v>10310</v>
      </c>
      <c r="E3139" t="s">
        <v>10310</v>
      </c>
      <c r="F3139">
        <v>2005</v>
      </c>
      <c r="G3139" t="s">
        <v>1550</v>
      </c>
      <c r="H3139" t="s">
        <v>15126</v>
      </c>
      <c r="I3139" t="s">
        <v>15127</v>
      </c>
      <c r="J3139" t="s">
        <v>26</v>
      </c>
      <c r="K3139" t="s">
        <v>27</v>
      </c>
      <c r="L3139" t="b">
        <v>1</v>
      </c>
      <c r="M3139" t="s">
        <v>15128</v>
      </c>
      <c r="N3139" t="str">
        <f>"378.1/2/082"</f>
        <v>378.1/2/082</v>
      </c>
      <c r="P3139" t="b">
        <v>0</v>
      </c>
      <c r="R3139" t="str">
        <f>"9780826514776"</f>
        <v>9780826514776</v>
      </c>
      <c r="S3139" t="str">
        <f>"9781423774020"</f>
        <v>9781423774020</v>
      </c>
      <c r="T3139">
        <v>70294367</v>
      </c>
    </row>
    <row r="3140" spans="1:20" x14ac:dyDescent="0.25">
      <c r="A3140">
        <v>152427</v>
      </c>
      <c r="B3140" t="s">
        <v>15129</v>
      </c>
      <c r="C3140" t="s">
        <v>15130</v>
      </c>
      <c r="D3140" t="s">
        <v>10310</v>
      </c>
      <c r="E3140" t="s">
        <v>10310</v>
      </c>
      <c r="F3140">
        <v>2005</v>
      </c>
      <c r="G3140" t="s">
        <v>15131</v>
      </c>
      <c r="H3140" t="s">
        <v>15132</v>
      </c>
      <c r="I3140" t="s">
        <v>15133</v>
      </c>
      <c r="J3140" t="s">
        <v>26</v>
      </c>
      <c r="K3140" t="s">
        <v>27</v>
      </c>
      <c r="L3140" t="b">
        <v>1</v>
      </c>
      <c r="M3140" t="s">
        <v>15134</v>
      </c>
      <c r="N3140" t="str">
        <f>"362.61/0973"</f>
        <v>362.61/0973</v>
      </c>
      <c r="P3140" t="b">
        <v>0</v>
      </c>
      <c r="R3140" t="str">
        <f>"9780826514875"</f>
        <v>9780826514875</v>
      </c>
      <c r="S3140" t="str">
        <f>"9781423774037"</f>
        <v>9781423774037</v>
      </c>
      <c r="T3140">
        <v>69407449</v>
      </c>
    </row>
    <row r="3141" spans="1:20" x14ac:dyDescent="0.25">
      <c r="A3141">
        <v>152426</v>
      </c>
      <c r="B3141" t="s">
        <v>15135</v>
      </c>
      <c r="C3141" t="s">
        <v>15136</v>
      </c>
      <c r="D3141" t="s">
        <v>10310</v>
      </c>
      <c r="E3141" t="s">
        <v>10310</v>
      </c>
      <c r="F3141">
        <v>2005</v>
      </c>
      <c r="G3141" t="s">
        <v>5469</v>
      </c>
      <c r="H3141" t="s">
        <v>15137</v>
      </c>
      <c r="I3141" t="s">
        <v>15138</v>
      </c>
      <c r="J3141" t="s">
        <v>26</v>
      </c>
      <c r="K3141" t="s">
        <v>27</v>
      </c>
      <c r="L3141" t="b">
        <v>1</v>
      </c>
      <c r="M3141" t="s">
        <v>15139</v>
      </c>
      <c r="N3141" t="str">
        <f>"860.9/11"</f>
        <v>860.9/11</v>
      </c>
      <c r="O3141" t="s">
        <v>10458</v>
      </c>
      <c r="P3141" t="b">
        <v>0</v>
      </c>
      <c r="R3141" t="str">
        <f>"9780826514981"</f>
        <v>9780826514981</v>
      </c>
      <c r="S3141" t="str">
        <f>"9781429412971"</f>
        <v>9781429412971</v>
      </c>
      <c r="T3141">
        <v>75967146</v>
      </c>
    </row>
    <row r="3142" spans="1:20" x14ac:dyDescent="0.25">
      <c r="A3142">
        <v>152425</v>
      </c>
      <c r="B3142" t="s">
        <v>15140</v>
      </c>
      <c r="D3142" t="s">
        <v>10310</v>
      </c>
      <c r="E3142" t="s">
        <v>10310</v>
      </c>
      <c r="F3142">
        <v>2005</v>
      </c>
      <c r="H3142" t="s">
        <v>15141</v>
      </c>
      <c r="I3142" t="s">
        <v>15142</v>
      </c>
      <c r="J3142" t="s">
        <v>26</v>
      </c>
      <c r="K3142" t="s">
        <v>27</v>
      </c>
      <c r="L3142" t="b">
        <v>1</v>
      </c>
      <c r="M3142" t="s">
        <v>15143</v>
      </c>
      <c r="N3142" t="str">
        <f>"305.868"</f>
        <v>305.868</v>
      </c>
      <c r="O3142" t="s">
        <v>10458</v>
      </c>
      <c r="P3142" t="b">
        <v>0</v>
      </c>
      <c r="R3142" t="str">
        <f>"9780826514714"</f>
        <v>9780826514714</v>
      </c>
      <c r="S3142" t="str">
        <f>"9781423774013"</f>
        <v>9781423774013</v>
      </c>
      <c r="T3142">
        <v>69407380</v>
      </c>
    </row>
    <row r="3143" spans="1:20" x14ac:dyDescent="0.25">
      <c r="A3143">
        <v>152424</v>
      </c>
      <c r="B3143" t="s">
        <v>15144</v>
      </c>
      <c r="C3143" t="s">
        <v>15145</v>
      </c>
      <c r="D3143" t="s">
        <v>10310</v>
      </c>
      <c r="E3143" t="s">
        <v>10310</v>
      </c>
      <c r="F3143">
        <v>2005</v>
      </c>
      <c r="G3143" t="s">
        <v>5567</v>
      </c>
      <c r="H3143" t="s">
        <v>15146</v>
      </c>
      <c r="I3143" t="s">
        <v>15147</v>
      </c>
      <c r="J3143" t="s">
        <v>26</v>
      </c>
      <c r="K3143" t="s">
        <v>27</v>
      </c>
      <c r="L3143" t="b">
        <v>1</v>
      </c>
      <c r="M3143" t="s">
        <v>15148</v>
      </c>
      <c r="N3143" t="str">
        <f>"616"</f>
        <v>616</v>
      </c>
      <c r="P3143" t="b">
        <v>0</v>
      </c>
      <c r="R3143" t="str">
        <f>"9780826514738"</f>
        <v>9780826514738</v>
      </c>
      <c r="S3143" t="str">
        <f>"9781423774006"</f>
        <v>9781423774006</v>
      </c>
      <c r="T3143">
        <v>69407250</v>
      </c>
    </row>
    <row r="3144" spans="1:20" x14ac:dyDescent="0.25">
      <c r="A3144">
        <v>151791</v>
      </c>
      <c r="B3144" t="s">
        <v>15149</v>
      </c>
      <c r="C3144" t="s">
        <v>15150</v>
      </c>
      <c r="D3144" t="s">
        <v>7590</v>
      </c>
      <c r="E3144" t="s">
        <v>7591</v>
      </c>
      <c r="F3144">
        <v>2005</v>
      </c>
      <c r="G3144" t="s">
        <v>2209</v>
      </c>
      <c r="H3144" t="s">
        <v>15151</v>
      </c>
      <c r="I3144" t="s">
        <v>15152</v>
      </c>
      <c r="J3144" t="s">
        <v>26</v>
      </c>
      <c r="K3144" t="s">
        <v>86</v>
      </c>
      <c r="L3144" t="b">
        <v>1</v>
      </c>
      <c r="M3144" t="s">
        <v>15153</v>
      </c>
      <c r="N3144" t="str">
        <f>"303.48/33"</f>
        <v>303.48/33</v>
      </c>
      <c r="P3144" t="b">
        <v>0</v>
      </c>
      <c r="Q3144" t="b">
        <v>0</v>
      </c>
      <c r="R3144" t="str">
        <f>"9781573872287"</f>
        <v>9781573872287</v>
      </c>
      <c r="S3144" t="str">
        <f>"9781573879583"</f>
        <v>9781573879583</v>
      </c>
      <c r="T3144">
        <v>65287705</v>
      </c>
    </row>
    <row r="3145" spans="1:20" x14ac:dyDescent="0.25">
      <c r="A3145">
        <v>150220</v>
      </c>
      <c r="B3145" t="s">
        <v>15154</v>
      </c>
      <c r="D3145" t="s">
        <v>5828</v>
      </c>
      <c r="E3145" t="s">
        <v>12469</v>
      </c>
      <c r="F3145">
        <v>2002</v>
      </c>
      <c r="G3145" t="s">
        <v>5204</v>
      </c>
      <c r="H3145" t="s">
        <v>15155</v>
      </c>
      <c r="I3145" t="s">
        <v>15156</v>
      </c>
      <c r="J3145" t="s">
        <v>26</v>
      </c>
      <c r="K3145" t="s">
        <v>27</v>
      </c>
      <c r="L3145" t="b">
        <v>1</v>
      </c>
      <c r="M3145" t="s">
        <v>15157</v>
      </c>
      <c r="N3145" t="str">
        <f>"942"</f>
        <v>942</v>
      </c>
      <c r="P3145" t="b">
        <v>0</v>
      </c>
      <c r="S3145" t="str">
        <f>"9781423757160"</f>
        <v>9781423757160</v>
      </c>
      <c r="T3145">
        <v>64637769</v>
      </c>
    </row>
    <row r="3146" spans="1:20" x14ac:dyDescent="0.25">
      <c r="A3146">
        <v>150045</v>
      </c>
      <c r="B3146" t="s">
        <v>15158</v>
      </c>
      <c r="C3146" t="s">
        <v>15159</v>
      </c>
      <c r="D3146" t="s">
        <v>5828</v>
      </c>
      <c r="E3146" t="s">
        <v>12469</v>
      </c>
      <c r="F3146">
        <v>2002</v>
      </c>
      <c r="G3146" t="s">
        <v>7870</v>
      </c>
      <c r="H3146" t="s">
        <v>15160</v>
      </c>
      <c r="J3146" t="s">
        <v>26</v>
      </c>
      <c r="K3146" t="s">
        <v>27</v>
      </c>
      <c r="L3146" t="b">
        <v>1</v>
      </c>
      <c r="M3146" t="s">
        <v>15161</v>
      </c>
      <c r="N3146" t="str">
        <f>"944"</f>
        <v>944</v>
      </c>
      <c r="O3146" t="s">
        <v>15162</v>
      </c>
      <c r="P3146" t="b">
        <v>0</v>
      </c>
      <c r="R3146" t="str">
        <f>"9780198731863"</f>
        <v>9780198731863</v>
      </c>
      <c r="S3146" t="str">
        <f>"9781423766544"</f>
        <v>9781423766544</v>
      </c>
      <c r="T3146">
        <v>65670860</v>
      </c>
    </row>
    <row r="3147" spans="1:20" x14ac:dyDescent="0.25">
      <c r="A3147">
        <v>149332</v>
      </c>
      <c r="B3147" t="s">
        <v>15163</v>
      </c>
      <c r="C3147" t="s">
        <v>15164</v>
      </c>
      <c r="D3147" t="s">
        <v>5828</v>
      </c>
      <c r="E3147" t="s">
        <v>12469</v>
      </c>
      <c r="F3147">
        <v>2005</v>
      </c>
      <c r="G3147" t="s">
        <v>6342</v>
      </c>
      <c r="H3147" t="s">
        <v>15165</v>
      </c>
      <c r="I3147" t="s">
        <v>15166</v>
      </c>
      <c r="J3147" t="s">
        <v>26</v>
      </c>
      <c r="K3147" t="s">
        <v>27</v>
      </c>
      <c r="L3147" t="b">
        <v>1</v>
      </c>
      <c r="M3147" t="s">
        <v>15167</v>
      </c>
      <c r="N3147" t="str">
        <f>"500"</f>
        <v>500</v>
      </c>
      <c r="P3147" t="b">
        <v>0</v>
      </c>
      <c r="T3147">
        <v>64184137</v>
      </c>
    </row>
    <row r="3148" spans="1:20" x14ac:dyDescent="0.25">
      <c r="A3148">
        <v>147281</v>
      </c>
      <c r="B3148" t="s">
        <v>15168</v>
      </c>
      <c r="C3148" t="s">
        <v>15169</v>
      </c>
      <c r="D3148" t="s">
        <v>12141</v>
      </c>
      <c r="E3148" t="s">
        <v>12141</v>
      </c>
      <c r="F3148">
        <v>2006</v>
      </c>
      <c r="G3148" t="s">
        <v>9180</v>
      </c>
      <c r="H3148" t="s">
        <v>15170</v>
      </c>
      <c r="I3148" t="s">
        <v>15171</v>
      </c>
      <c r="J3148" t="s">
        <v>26</v>
      </c>
      <c r="K3148" t="s">
        <v>27</v>
      </c>
      <c r="L3148" t="b">
        <v>1</v>
      </c>
      <c r="M3148" t="s">
        <v>12144</v>
      </c>
      <c r="N3148" t="str">
        <f>"610.730692/023"</f>
        <v>610.730692/023</v>
      </c>
      <c r="O3148" t="s">
        <v>12145</v>
      </c>
      <c r="P3148" t="b">
        <v>0</v>
      </c>
      <c r="R3148" t="str">
        <f>"9781585550258"</f>
        <v>9781585550258</v>
      </c>
      <c r="S3148" t="str">
        <f>"9781423765332"</f>
        <v>9781423765332</v>
      </c>
      <c r="T3148">
        <v>65469906</v>
      </c>
    </row>
    <row r="3149" spans="1:20" x14ac:dyDescent="0.25">
      <c r="A3149">
        <v>147276</v>
      </c>
      <c r="B3149" t="s">
        <v>15172</v>
      </c>
      <c r="C3149" t="s">
        <v>15173</v>
      </c>
      <c r="D3149" t="s">
        <v>12141</v>
      </c>
      <c r="E3149" t="s">
        <v>12141</v>
      </c>
      <c r="F3149">
        <v>2006</v>
      </c>
      <c r="G3149" t="s">
        <v>1054</v>
      </c>
      <c r="H3149" t="s">
        <v>15174</v>
      </c>
      <c r="I3149" t="s">
        <v>15175</v>
      </c>
      <c r="J3149" t="s">
        <v>26</v>
      </c>
      <c r="K3149" t="s">
        <v>27</v>
      </c>
      <c r="L3149" t="b">
        <v>1</v>
      </c>
      <c r="M3149" t="s">
        <v>12144</v>
      </c>
      <c r="N3149" t="str">
        <f>"616.1/023"</f>
        <v>616.1/023</v>
      </c>
      <c r="P3149" t="b">
        <v>0</v>
      </c>
      <c r="R3149" t="str">
        <f>"9781585113934"</f>
        <v>9781585113934</v>
      </c>
      <c r="S3149" t="str">
        <f>"9781423765363"</f>
        <v>9781423765363</v>
      </c>
      <c r="T3149">
        <v>65467716</v>
      </c>
    </row>
    <row r="3150" spans="1:20" x14ac:dyDescent="0.25">
      <c r="A3150">
        <v>147275</v>
      </c>
      <c r="B3150" t="s">
        <v>15176</v>
      </c>
      <c r="D3150" t="s">
        <v>12141</v>
      </c>
      <c r="E3150" t="s">
        <v>12141</v>
      </c>
      <c r="F3150">
        <v>2006</v>
      </c>
      <c r="G3150" t="s">
        <v>8643</v>
      </c>
      <c r="H3150" t="s">
        <v>15079</v>
      </c>
      <c r="I3150" t="s">
        <v>15177</v>
      </c>
      <c r="J3150" t="s">
        <v>26</v>
      </c>
      <c r="K3150" t="s">
        <v>27</v>
      </c>
      <c r="L3150" t="b">
        <v>1</v>
      </c>
      <c r="M3150" t="s">
        <v>12144</v>
      </c>
      <c r="N3150" t="str">
        <f>"004.023"</f>
        <v>004.023</v>
      </c>
      <c r="P3150" t="b">
        <v>0</v>
      </c>
      <c r="R3150" t="str">
        <f>"9781585113927"</f>
        <v>9781585113927</v>
      </c>
      <c r="S3150" t="str">
        <f>"9781423765387"</f>
        <v>9781423765387</v>
      </c>
      <c r="T3150">
        <v>65466831</v>
      </c>
    </row>
    <row r="3151" spans="1:20" x14ac:dyDescent="0.25">
      <c r="A3151">
        <v>147272</v>
      </c>
      <c r="B3151" t="s">
        <v>15178</v>
      </c>
      <c r="C3151" t="s">
        <v>15179</v>
      </c>
      <c r="D3151" t="s">
        <v>12141</v>
      </c>
      <c r="E3151" t="s">
        <v>12141</v>
      </c>
      <c r="F3151">
        <v>2006</v>
      </c>
      <c r="G3151" t="s">
        <v>2122</v>
      </c>
      <c r="H3151" t="s">
        <v>15180</v>
      </c>
      <c r="I3151" t="s">
        <v>15181</v>
      </c>
      <c r="J3151" t="s">
        <v>26</v>
      </c>
      <c r="K3151" t="s">
        <v>27</v>
      </c>
      <c r="L3151" t="b">
        <v>1</v>
      </c>
      <c r="M3151" t="s">
        <v>12144</v>
      </c>
      <c r="N3151" t="str">
        <f>"617.585/023"</f>
        <v>617.585/023</v>
      </c>
      <c r="O3151" t="s">
        <v>12145</v>
      </c>
      <c r="P3151" t="b">
        <v>0</v>
      </c>
      <c r="R3151" t="str">
        <f>"9781585113101"</f>
        <v>9781585113101</v>
      </c>
      <c r="S3151" t="str">
        <f>"9781423765424"</f>
        <v>9781423765424</v>
      </c>
      <c r="T3151">
        <v>65431584</v>
      </c>
    </row>
    <row r="3152" spans="1:20" x14ac:dyDescent="0.25">
      <c r="A3152">
        <v>147271</v>
      </c>
      <c r="B3152" t="s">
        <v>15182</v>
      </c>
      <c r="C3152" t="s">
        <v>15183</v>
      </c>
      <c r="D3152" t="s">
        <v>12141</v>
      </c>
      <c r="E3152" t="s">
        <v>12141</v>
      </c>
      <c r="F3152">
        <v>2006</v>
      </c>
      <c r="G3152" t="s">
        <v>9201</v>
      </c>
      <c r="H3152" t="s">
        <v>15184</v>
      </c>
      <c r="I3152" t="s">
        <v>15185</v>
      </c>
      <c r="J3152" t="s">
        <v>26</v>
      </c>
      <c r="K3152" t="s">
        <v>27</v>
      </c>
      <c r="L3152" t="b">
        <v>1</v>
      </c>
      <c r="M3152" t="s">
        <v>12144</v>
      </c>
      <c r="N3152" t="str">
        <f>"616.692/023"</f>
        <v>616.692/023</v>
      </c>
      <c r="O3152" t="s">
        <v>12145</v>
      </c>
      <c r="P3152" t="b">
        <v>0</v>
      </c>
      <c r="R3152" t="str">
        <f>"9781585113040"</f>
        <v>9781585113040</v>
      </c>
      <c r="S3152" t="str">
        <f>"9781423765615"</f>
        <v>9781423765615</v>
      </c>
      <c r="T3152">
        <v>65471523</v>
      </c>
    </row>
    <row r="3153" spans="1:20" x14ac:dyDescent="0.25">
      <c r="A3153">
        <v>147266</v>
      </c>
      <c r="B3153" t="s">
        <v>15186</v>
      </c>
      <c r="D3153" t="s">
        <v>12141</v>
      </c>
      <c r="E3153" t="s">
        <v>12141</v>
      </c>
      <c r="F3153">
        <v>2006</v>
      </c>
      <c r="G3153" t="s">
        <v>15187</v>
      </c>
      <c r="H3153" t="s">
        <v>15188</v>
      </c>
      <c r="I3153" t="s">
        <v>15189</v>
      </c>
      <c r="J3153" t="s">
        <v>26</v>
      </c>
      <c r="K3153" t="s">
        <v>27</v>
      </c>
      <c r="L3153" t="b">
        <v>1</v>
      </c>
      <c r="M3153" t="s">
        <v>12144</v>
      </c>
      <c r="N3153" t="str">
        <f>"636.088/9/023"</f>
        <v>636.088/9/023</v>
      </c>
      <c r="O3153" t="s">
        <v>12145</v>
      </c>
      <c r="P3153" t="b">
        <v>0</v>
      </c>
      <c r="R3153" t="str">
        <f>"9781585111756"</f>
        <v>9781585111756</v>
      </c>
      <c r="S3153" t="str">
        <f>"9781423765677"</f>
        <v>9781423765677</v>
      </c>
      <c r="T3153">
        <v>65471483</v>
      </c>
    </row>
    <row r="3154" spans="1:20" x14ac:dyDescent="0.25">
      <c r="A3154">
        <v>147258</v>
      </c>
      <c r="B3154" t="s">
        <v>15190</v>
      </c>
      <c r="C3154" t="s">
        <v>15191</v>
      </c>
      <c r="D3154" t="s">
        <v>12141</v>
      </c>
      <c r="E3154" t="s">
        <v>12141</v>
      </c>
      <c r="F3154">
        <v>2006</v>
      </c>
      <c r="G3154" t="s">
        <v>12359</v>
      </c>
      <c r="H3154" t="s">
        <v>15192</v>
      </c>
      <c r="I3154" t="s">
        <v>15193</v>
      </c>
      <c r="J3154" t="s">
        <v>26</v>
      </c>
      <c r="K3154" t="s">
        <v>27</v>
      </c>
      <c r="L3154" t="b">
        <v>1</v>
      </c>
      <c r="M3154" t="s">
        <v>12144</v>
      </c>
      <c r="N3154" t="str">
        <f>"617.6/023"</f>
        <v>617.6/023</v>
      </c>
      <c r="O3154" t="s">
        <v>12145</v>
      </c>
      <c r="P3154" t="b">
        <v>0</v>
      </c>
      <c r="R3154" t="str">
        <f>"9781585110100"</f>
        <v>9781585110100</v>
      </c>
      <c r="S3154" t="str">
        <f>"9781423765394"</f>
        <v>9781423765394</v>
      </c>
      <c r="T3154">
        <v>65431431</v>
      </c>
    </row>
    <row r="3155" spans="1:20" x14ac:dyDescent="0.25">
      <c r="A3155">
        <v>146954</v>
      </c>
      <c r="B3155" t="s">
        <v>15194</v>
      </c>
      <c r="C3155" t="s">
        <v>15195</v>
      </c>
      <c r="D3155" t="s">
        <v>5828</v>
      </c>
      <c r="E3155" t="s">
        <v>12469</v>
      </c>
      <c r="F3155">
        <v>2004</v>
      </c>
      <c r="G3155" t="s">
        <v>15196</v>
      </c>
      <c r="H3155" t="s">
        <v>15197</v>
      </c>
      <c r="I3155" t="s">
        <v>15198</v>
      </c>
      <c r="J3155" t="s">
        <v>26</v>
      </c>
      <c r="K3155" t="s">
        <v>27</v>
      </c>
      <c r="L3155" t="b">
        <v>1</v>
      </c>
      <c r="M3155" t="s">
        <v>15199</v>
      </c>
      <c r="N3155" t="str">
        <f>"262/.13"</f>
        <v>262/.13</v>
      </c>
      <c r="P3155" t="b">
        <v>0</v>
      </c>
      <c r="R3155" t="str">
        <f>"9780195178340"</f>
        <v>9780195178340</v>
      </c>
      <c r="S3155" t="str">
        <f>"9781423746584"</f>
        <v>9781423746584</v>
      </c>
      <c r="T3155">
        <v>62872338</v>
      </c>
    </row>
    <row r="3156" spans="1:20" x14ac:dyDescent="0.25">
      <c r="A3156">
        <v>146952</v>
      </c>
      <c r="B3156" t="s">
        <v>15200</v>
      </c>
      <c r="C3156" t="s">
        <v>15201</v>
      </c>
      <c r="D3156" t="s">
        <v>5828</v>
      </c>
      <c r="E3156" t="s">
        <v>12469</v>
      </c>
      <c r="F3156">
        <v>2005</v>
      </c>
      <c r="G3156" t="s">
        <v>15202</v>
      </c>
      <c r="H3156" t="s">
        <v>15203</v>
      </c>
      <c r="I3156" t="s">
        <v>15204</v>
      </c>
      <c r="J3156" t="s">
        <v>26</v>
      </c>
      <c r="K3156" t="s">
        <v>27</v>
      </c>
      <c r="L3156" t="b">
        <v>1</v>
      </c>
      <c r="M3156" t="s">
        <v>15205</v>
      </c>
      <c r="N3156" t="str">
        <f>"355.02/13/0973"</f>
        <v>355.02/13/0973</v>
      </c>
      <c r="P3156" t="b">
        <v>0</v>
      </c>
      <c r="S3156" t="str">
        <f>"9781423746683"</f>
        <v>9781423746683</v>
      </c>
      <c r="T3156">
        <v>62872330</v>
      </c>
    </row>
    <row r="3157" spans="1:20" x14ac:dyDescent="0.25">
      <c r="A3157">
        <v>144679</v>
      </c>
      <c r="B3157" t="s">
        <v>15206</v>
      </c>
      <c r="C3157" t="s">
        <v>15207</v>
      </c>
      <c r="D3157" t="s">
        <v>10161</v>
      </c>
      <c r="E3157" t="s">
        <v>10161</v>
      </c>
      <c r="F3157">
        <v>2005</v>
      </c>
      <c r="G3157" t="s">
        <v>8293</v>
      </c>
      <c r="H3157" t="s">
        <v>15208</v>
      </c>
      <c r="I3157" t="s">
        <v>15209</v>
      </c>
      <c r="J3157" t="s">
        <v>26</v>
      </c>
      <c r="K3157" t="s">
        <v>27</v>
      </c>
      <c r="L3157" t="b">
        <v>1</v>
      </c>
      <c r="M3157" t="s">
        <v>15210</v>
      </c>
      <c r="N3157" t="str">
        <f>"363.61"</f>
        <v>363.61</v>
      </c>
      <c r="P3157" t="b">
        <v>0</v>
      </c>
      <c r="R3157" t="str">
        <f>"9781843391043"</f>
        <v>9781843391043</v>
      </c>
      <c r="S3157" t="str">
        <f>"9781552501870"</f>
        <v>9781552501870</v>
      </c>
      <c r="T3157">
        <v>62585749</v>
      </c>
    </row>
    <row r="3158" spans="1:20" x14ac:dyDescent="0.25">
      <c r="A3158">
        <v>142649</v>
      </c>
      <c r="B3158" t="s">
        <v>15211</v>
      </c>
      <c r="D3158" t="s">
        <v>255</v>
      </c>
      <c r="E3158" t="s">
        <v>256</v>
      </c>
      <c r="F3158">
        <v>2005</v>
      </c>
      <c r="G3158" t="s">
        <v>2310</v>
      </c>
      <c r="H3158" t="s">
        <v>15212</v>
      </c>
      <c r="J3158" t="s">
        <v>26</v>
      </c>
      <c r="K3158" t="s">
        <v>27</v>
      </c>
      <c r="L3158" t="b">
        <v>1</v>
      </c>
      <c r="M3158" t="s">
        <v>5718</v>
      </c>
      <c r="N3158" t="str">
        <f>"821.2"</f>
        <v>821.2</v>
      </c>
      <c r="P3158" t="b">
        <v>0</v>
      </c>
      <c r="S3158" t="str">
        <f>"9781775585213"</f>
        <v>9781775585213</v>
      </c>
      <c r="T3158">
        <v>874919502</v>
      </c>
    </row>
    <row r="3159" spans="1:20" x14ac:dyDescent="0.25">
      <c r="A3159">
        <v>142486</v>
      </c>
      <c r="B3159" t="s">
        <v>15213</v>
      </c>
      <c r="C3159" t="s">
        <v>15214</v>
      </c>
      <c r="D3159" t="s">
        <v>10310</v>
      </c>
      <c r="E3159" t="s">
        <v>10310</v>
      </c>
      <c r="F3159">
        <v>2003</v>
      </c>
      <c r="G3159" t="s">
        <v>2281</v>
      </c>
      <c r="H3159" t="s">
        <v>15215</v>
      </c>
      <c r="I3159" t="s">
        <v>15216</v>
      </c>
      <c r="J3159" t="s">
        <v>26</v>
      </c>
      <c r="K3159" t="s">
        <v>27</v>
      </c>
      <c r="L3159" t="b">
        <v>1</v>
      </c>
      <c r="M3159" t="s">
        <v>15217</v>
      </c>
      <c r="N3159" t="str">
        <f>"171/.2"</f>
        <v>171/.2</v>
      </c>
      <c r="O3159" t="s">
        <v>15218</v>
      </c>
      <c r="P3159" t="b">
        <v>0</v>
      </c>
      <c r="R3159" t="str">
        <f>"9780826514202"</f>
        <v>9780826514202</v>
      </c>
      <c r="S3159" t="str">
        <f>"9781423731269"</f>
        <v>9781423731269</v>
      </c>
      <c r="T3159">
        <v>62190039</v>
      </c>
    </row>
    <row r="3160" spans="1:20" x14ac:dyDescent="0.25">
      <c r="A3160">
        <v>142485</v>
      </c>
      <c r="B3160" t="s">
        <v>15219</v>
      </c>
      <c r="C3160" t="s">
        <v>15220</v>
      </c>
      <c r="D3160" t="s">
        <v>10310</v>
      </c>
      <c r="E3160" t="s">
        <v>10310</v>
      </c>
      <c r="F3160">
        <v>2002</v>
      </c>
      <c r="G3160" t="s">
        <v>8311</v>
      </c>
      <c r="H3160" t="s">
        <v>15221</v>
      </c>
      <c r="I3160" t="s">
        <v>15222</v>
      </c>
      <c r="J3160" t="s">
        <v>26</v>
      </c>
      <c r="K3160" t="s">
        <v>27</v>
      </c>
      <c r="L3160" t="b">
        <v>1</v>
      </c>
      <c r="M3160" t="s">
        <v>15223</v>
      </c>
      <c r="N3160" t="str">
        <f>"362.1/2/0973"</f>
        <v>362.1/2/0973</v>
      </c>
      <c r="P3160" t="b">
        <v>0</v>
      </c>
      <c r="R3160" t="str">
        <f>"9780826514103"</f>
        <v>9780826514103</v>
      </c>
      <c r="S3160" t="str">
        <f>"9781423731566"</f>
        <v>9781423731566</v>
      </c>
      <c r="T3160">
        <v>62243137</v>
      </c>
    </row>
    <row r="3161" spans="1:20" x14ac:dyDescent="0.25">
      <c r="A3161">
        <v>142483</v>
      </c>
      <c r="B3161" t="s">
        <v>15224</v>
      </c>
      <c r="C3161" t="s">
        <v>15225</v>
      </c>
      <c r="D3161" t="s">
        <v>10310</v>
      </c>
      <c r="E3161" t="s">
        <v>10310</v>
      </c>
      <c r="F3161">
        <v>2003</v>
      </c>
      <c r="G3161" t="s">
        <v>4483</v>
      </c>
      <c r="H3161" t="s">
        <v>15226</v>
      </c>
      <c r="J3161" t="s">
        <v>26</v>
      </c>
      <c r="K3161" t="s">
        <v>27</v>
      </c>
      <c r="L3161" t="b">
        <v>1</v>
      </c>
      <c r="M3161" t="s">
        <v>15227</v>
      </c>
      <c r="N3161" t="str">
        <f>"191"</f>
        <v>191</v>
      </c>
      <c r="O3161" t="s">
        <v>15218</v>
      </c>
      <c r="P3161" t="b">
        <v>0</v>
      </c>
      <c r="R3161" t="str">
        <f>"9780826514097"</f>
        <v>9780826514097</v>
      </c>
      <c r="S3161" t="str">
        <f>"9781423731214"</f>
        <v>9781423731214</v>
      </c>
      <c r="T3161">
        <v>62190002</v>
      </c>
    </row>
    <row r="3162" spans="1:20" x14ac:dyDescent="0.25">
      <c r="A3162">
        <v>142482</v>
      </c>
      <c r="B3162" t="s">
        <v>15228</v>
      </c>
      <c r="C3162" t="s">
        <v>15229</v>
      </c>
      <c r="D3162" t="s">
        <v>10310</v>
      </c>
      <c r="E3162" t="s">
        <v>10310</v>
      </c>
      <c r="F3162">
        <v>2003</v>
      </c>
      <c r="G3162" t="s">
        <v>2640</v>
      </c>
      <c r="H3162" t="s">
        <v>15230</v>
      </c>
      <c r="I3162" t="s">
        <v>15231</v>
      </c>
      <c r="J3162" t="s">
        <v>26</v>
      </c>
      <c r="K3162" t="s">
        <v>27</v>
      </c>
      <c r="L3162" t="b">
        <v>1</v>
      </c>
      <c r="M3162" t="s">
        <v>15232</v>
      </c>
      <c r="N3162" t="str">
        <f>"144/.3"</f>
        <v>144/.3</v>
      </c>
      <c r="O3162" t="s">
        <v>15218</v>
      </c>
      <c r="P3162" t="b">
        <v>0</v>
      </c>
      <c r="R3162" t="str">
        <f>"9780826514264"</f>
        <v>9780826514264</v>
      </c>
      <c r="S3162" t="str">
        <f>"9781423731238"</f>
        <v>9781423731238</v>
      </c>
      <c r="T3162">
        <v>62189969</v>
      </c>
    </row>
    <row r="3163" spans="1:20" x14ac:dyDescent="0.25">
      <c r="A3163">
        <v>142481</v>
      </c>
      <c r="B3163" t="s">
        <v>15233</v>
      </c>
      <c r="C3163" t="s">
        <v>15234</v>
      </c>
      <c r="D3163" t="s">
        <v>10310</v>
      </c>
      <c r="E3163" t="s">
        <v>10310</v>
      </c>
      <c r="F3163">
        <v>2002</v>
      </c>
      <c r="H3163" t="s">
        <v>15235</v>
      </c>
      <c r="I3163" t="s">
        <v>15236</v>
      </c>
      <c r="J3163" t="s">
        <v>26</v>
      </c>
      <c r="K3163" t="s">
        <v>27</v>
      </c>
      <c r="L3163" t="b">
        <v>1</v>
      </c>
      <c r="M3163" t="s">
        <v>15237</v>
      </c>
      <c r="N3163" t="str">
        <f>"305.5/52/097209045"</f>
        <v>305.5/52/097209045</v>
      </c>
      <c r="P3163" t="b">
        <v>0</v>
      </c>
      <c r="R3163" t="str">
        <f>"9780826514226"</f>
        <v>9780826514226</v>
      </c>
      <c r="S3163" t="str">
        <f>"9781423731412"</f>
        <v>9781423731412</v>
      </c>
      <c r="T3163">
        <v>62195247</v>
      </c>
    </row>
    <row r="3164" spans="1:20" x14ac:dyDescent="0.25">
      <c r="A3164">
        <v>142480</v>
      </c>
      <c r="B3164" t="s">
        <v>15238</v>
      </c>
      <c r="C3164" t="s">
        <v>15239</v>
      </c>
      <c r="D3164" t="s">
        <v>10310</v>
      </c>
      <c r="E3164" t="s">
        <v>10310</v>
      </c>
      <c r="F3164">
        <v>2003</v>
      </c>
      <c r="G3164" t="s">
        <v>8311</v>
      </c>
      <c r="H3164" t="s">
        <v>15240</v>
      </c>
      <c r="I3164" t="s">
        <v>15241</v>
      </c>
      <c r="J3164" t="s">
        <v>26</v>
      </c>
      <c r="K3164" t="s">
        <v>27</v>
      </c>
      <c r="L3164" t="b">
        <v>1</v>
      </c>
      <c r="M3164" t="s">
        <v>15242</v>
      </c>
      <c r="N3164" t="str">
        <f>"362.1/089/95942073"</f>
        <v>362.1/089/95942073</v>
      </c>
      <c r="P3164" t="b">
        <v>0</v>
      </c>
      <c r="R3164" t="str">
        <f>"9780826514301"</f>
        <v>9780826514301</v>
      </c>
      <c r="S3164" t="str">
        <f>"9781423731429"</f>
        <v>9781423731429</v>
      </c>
      <c r="T3164">
        <v>62195225</v>
      </c>
    </row>
    <row r="3165" spans="1:20" x14ac:dyDescent="0.25">
      <c r="A3165">
        <v>142479</v>
      </c>
      <c r="B3165" t="s">
        <v>15243</v>
      </c>
      <c r="C3165" t="s">
        <v>15244</v>
      </c>
      <c r="D3165" t="s">
        <v>10310</v>
      </c>
      <c r="E3165" t="s">
        <v>10310</v>
      </c>
      <c r="F3165">
        <v>2004</v>
      </c>
      <c r="G3165" t="s">
        <v>605</v>
      </c>
      <c r="H3165" t="s">
        <v>15245</v>
      </c>
      <c r="I3165" t="s">
        <v>15246</v>
      </c>
      <c r="J3165" t="s">
        <v>26</v>
      </c>
      <c r="K3165" t="s">
        <v>27</v>
      </c>
      <c r="L3165" t="b">
        <v>1</v>
      </c>
      <c r="M3165" t="s">
        <v>15247</v>
      </c>
      <c r="N3165" t="str">
        <f>"111/.85/092"</f>
        <v>111/.85/092</v>
      </c>
      <c r="O3165" t="s">
        <v>15218</v>
      </c>
      <c r="P3165" t="b">
        <v>0</v>
      </c>
      <c r="R3165" t="str">
        <f>"9780826514400"</f>
        <v>9780826514400</v>
      </c>
      <c r="S3165" t="str">
        <f>"9781423731405"</f>
        <v>9781423731405</v>
      </c>
      <c r="T3165">
        <v>62195213</v>
      </c>
    </row>
    <row r="3166" spans="1:20" x14ac:dyDescent="0.25">
      <c r="A3166">
        <v>142477</v>
      </c>
      <c r="B3166" t="s">
        <v>15248</v>
      </c>
      <c r="D3166" t="s">
        <v>10310</v>
      </c>
      <c r="E3166" t="s">
        <v>10310</v>
      </c>
      <c r="F3166">
        <v>2004</v>
      </c>
      <c r="G3166" t="s">
        <v>15249</v>
      </c>
      <c r="H3166" t="s">
        <v>15250</v>
      </c>
      <c r="I3166" t="s">
        <v>15251</v>
      </c>
      <c r="J3166" t="s">
        <v>26</v>
      </c>
      <c r="K3166" t="s">
        <v>27</v>
      </c>
      <c r="L3166" t="b">
        <v>1</v>
      </c>
      <c r="M3166" t="s">
        <v>15252</v>
      </c>
      <c r="N3166" t="str">
        <f>"297.2/7"</f>
        <v>297.2/7</v>
      </c>
      <c r="P3166" t="b">
        <v>0</v>
      </c>
      <c r="R3166" t="str">
        <f>"9780826514462"</f>
        <v>9780826514462</v>
      </c>
      <c r="S3166" t="str">
        <f>"9781423731252"</f>
        <v>9781423731252</v>
      </c>
      <c r="T3166">
        <v>62188546</v>
      </c>
    </row>
    <row r="3167" spans="1:20" x14ac:dyDescent="0.25">
      <c r="A3167">
        <v>142476</v>
      </c>
      <c r="B3167" t="s">
        <v>15253</v>
      </c>
      <c r="C3167" t="s">
        <v>15254</v>
      </c>
      <c r="D3167" t="s">
        <v>10310</v>
      </c>
      <c r="E3167" t="s">
        <v>10310</v>
      </c>
      <c r="F3167">
        <v>2004</v>
      </c>
      <c r="G3167" t="s">
        <v>1550</v>
      </c>
      <c r="H3167" t="s">
        <v>15255</v>
      </c>
      <c r="I3167" t="s">
        <v>15256</v>
      </c>
      <c r="J3167" t="s">
        <v>26</v>
      </c>
      <c r="K3167" t="s">
        <v>27</v>
      </c>
      <c r="L3167" t="b">
        <v>1</v>
      </c>
      <c r="M3167" t="s">
        <v>15257</v>
      </c>
      <c r="N3167" t="str">
        <f>"378.1/982/0973"</f>
        <v>378.1/982/0973</v>
      </c>
      <c r="P3167" t="b">
        <v>0</v>
      </c>
      <c r="R3167" t="str">
        <f>"9780826514486"</f>
        <v>9780826514486</v>
      </c>
      <c r="S3167" t="str">
        <f>"9781423731221"</f>
        <v>9781423731221</v>
      </c>
      <c r="T3167">
        <v>62188405</v>
      </c>
    </row>
    <row r="3168" spans="1:20" x14ac:dyDescent="0.25">
      <c r="A3168">
        <v>142475</v>
      </c>
      <c r="B3168" t="s">
        <v>15258</v>
      </c>
      <c r="C3168" t="s">
        <v>15259</v>
      </c>
      <c r="D3168" t="s">
        <v>10310</v>
      </c>
      <c r="E3168" t="s">
        <v>10310</v>
      </c>
      <c r="F3168">
        <v>2004</v>
      </c>
      <c r="G3168" t="s">
        <v>15260</v>
      </c>
      <c r="H3168" t="s">
        <v>15261</v>
      </c>
      <c r="I3168" t="s">
        <v>15262</v>
      </c>
      <c r="J3168" t="s">
        <v>26</v>
      </c>
      <c r="K3168" t="s">
        <v>27</v>
      </c>
      <c r="L3168" t="b">
        <v>1</v>
      </c>
      <c r="M3168" t="s">
        <v>15263</v>
      </c>
      <c r="N3168" t="str">
        <f>"781.64/09"</f>
        <v>781.64/09</v>
      </c>
      <c r="P3168" t="b">
        <v>0</v>
      </c>
      <c r="R3168" t="str">
        <f>"9780826514509"</f>
        <v>9780826514509</v>
      </c>
      <c r="S3168" t="str">
        <f>"9781423731436"</f>
        <v>9781423731436</v>
      </c>
      <c r="T3168">
        <v>62216187</v>
      </c>
    </row>
    <row r="3169" spans="1:20" x14ac:dyDescent="0.25">
      <c r="A3169">
        <v>142473</v>
      </c>
      <c r="B3169" t="s">
        <v>15264</v>
      </c>
      <c r="C3169" t="s">
        <v>15265</v>
      </c>
      <c r="D3169" t="s">
        <v>10310</v>
      </c>
      <c r="E3169" t="s">
        <v>10310</v>
      </c>
      <c r="F3169">
        <v>2005</v>
      </c>
      <c r="H3169" t="s">
        <v>15266</v>
      </c>
      <c r="I3169" t="s">
        <v>15267</v>
      </c>
      <c r="J3169" t="s">
        <v>26</v>
      </c>
      <c r="K3169" t="s">
        <v>27</v>
      </c>
      <c r="L3169" t="b">
        <v>1</v>
      </c>
      <c r="N3169" t="str">
        <f>"362.2/04256"</f>
        <v>362.2/04256</v>
      </c>
      <c r="P3169" t="b">
        <v>0</v>
      </c>
      <c r="R3169" t="str">
        <f>"9780826514653"</f>
        <v>9780826514653</v>
      </c>
      <c r="S3169" t="str">
        <f>"9781423731382"</f>
        <v>9781423731382</v>
      </c>
      <c r="T3169">
        <v>62216185</v>
      </c>
    </row>
    <row r="3170" spans="1:20" x14ac:dyDescent="0.25">
      <c r="A3170">
        <v>142189</v>
      </c>
      <c r="B3170" t="s">
        <v>15268</v>
      </c>
      <c r="C3170" t="s">
        <v>15269</v>
      </c>
      <c r="D3170" t="s">
        <v>14219</v>
      </c>
      <c r="E3170" t="s">
        <v>14219</v>
      </c>
      <c r="F3170">
        <v>2002</v>
      </c>
      <c r="G3170" t="s">
        <v>11000</v>
      </c>
      <c r="H3170" t="s">
        <v>15270</v>
      </c>
      <c r="I3170" t="s">
        <v>15271</v>
      </c>
      <c r="J3170" t="s">
        <v>503</v>
      </c>
      <c r="K3170" t="s">
        <v>27</v>
      </c>
      <c r="L3170" t="b">
        <v>1</v>
      </c>
      <c r="N3170" t="str">
        <f>"363.17"</f>
        <v>363.17</v>
      </c>
      <c r="O3170" t="s">
        <v>15268</v>
      </c>
      <c r="P3170" t="b">
        <v>0</v>
      </c>
      <c r="R3170" t="str">
        <f>"9789212391007"</f>
        <v>9789212391007</v>
      </c>
      <c r="S3170" t="str">
        <f>"9781423733119"</f>
        <v>9781423733119</v>
      </c>
      <c r="T3170">
        <v>62263214</v>
      </c>
    </row>
    <row r="3171" spans="1:20" x14ac:dyDescent="0.25">
      <c r="A3171">
        <v>141343</v>
      </c>
      <c r="B3171" t="s">
        <v>15272</v>
      </c>
      <c r="D3171" t="s">
        <v>12141</v>
      </c>
      <c r="E3171" t="s">
        <v>12141</v>
      </c>
      <c r="F3171">
        <v>2001</v>
      </c>
      <c r="G3171" t="s">
        <v>15273</v>
      </c>
      <c r="H3171" t="s">
        <v>15274</v>
      </c>
      <c r="I3171" t="s">
        <v>15275</v>
      </c>
      <c r="J3171" t="s">
        <v>26</v>
      </c>
      <c r="K3171" t="s">
        <v>27</v>
      </c>
      <c r="L3171" t="b">
        <v>1</v>
      </c>
      <c r="M3171" t="s">
        <v>12144</v>
      </c>
      <c r="N3171" t="str">
        <f>"630/.2/03"</f>
        <v>630/.2/03</v>
      </c>
      <c r="O3171" t="s">
        <v>12145</v>
      </c>
      <c r="P3171" t="b">
        <v>0</v>
      </c>
      <c r="R3171" t="str">
        <f>"9781585110537"</f>
        <v>9781585110537</v>
      </c>
      <c r="S3171" t="str">
        <f>"9781423742838"</f>
        <v>9781423742838</v>
      </c>
      <c r="T3171">
        <v>62708520</v>
      </c>
    </row>
    <row r="3172" spans="1:20" x14ac:dyDescent="0.25">
      <c r="A3172">
        <v>141224</v>
      </c>
      <c r="B3172" t="s">
        <v>15276</v>
      </c>
      <c r="C3172" t="s">
        <v>15277</v>
      </c>
      <c r="D3172" t="s">
        <v>12141</v>
      </c>
      <c r="E3172" t="s">
        <v>12141</v>
      </c>
      <c r="F3172">
        <v>2001</v>
      </c>
      <c r="G3172" t="s">
        <v>14327</v>
      </c>
      <c r="H3172" t="s">
        <v>15278</v>
      </c>
      <c r="I3172" t="s">
        <v>15279</v>
      </c>
      <c r="J3172" t="s">
        <v>26</v>
      </c>
      <c r="K3172" t="s">
        <v>27</v>
      </c>
      <c r="L3172" t="b">
        <v>1</v>
      </c>
      <c r="M3172" t="s">
        <v>12144</v>
      </c>
      <c r="N3172" t="str">
        <f>"331.7"</f>
        <v>331.7</v>
      </c>
      <c r="O3172" t="s">
        <v>12145</v>
      </c>
      <c r="P3172" t="b">
        <v>0</v>
      </c>
      <c r="R3172" t="str">
        <f>"9781585113866"</f>
        <v>9781585113866</v>
      </c>
      <c r="S3172" t="str">
        <f>"9781423742845"</f>
        <v>9781423742845</v>
      </c>
      <c r="T3172">
        <v>62711080</v>
      </c>
    </row>
    <row r="3173" spans="1:20" x14ac:dyDescent="0.25">
      <c r="A3173">
        <v>141223</v>
      </c>
      <c r="B3173" t="s">
        <v>15280</v>
      </c>
      <c r="C3173" t="s">
        <v>15281</v>
      </c>
      <c r="D3173" t="s">
        <v>12141</v>
      </c>
      <c r="E3173" t="s">
        <v>12141</v>
      </c>
      <c r="F3173">
        <v>2001</v>
      </c>
      <c r="G3173" t="s">
        <v>14327</v>
      </c>
      <c r="H3173" t="s">
        <v>15282</v>
      </c>
      <c r="I3173" t="s">
        <v>15283</v>
      </c>
      <c r="J3173" t="s">
        <v>26</v>
      </c>
      <c r="K3173" t="s">
        <v>27</v>
      </c>
      <c r="L3173" t="b">
        <v>1</v>
      </c>
      <c r="M3173" t="s">
        <v>12144</v>
      </c>
      <c r="N3173" t="str">
        <f>"331.7"</f>
        <v>331.7</v>
      </c>
      <c r="O3173" t="s">
        <v>12145</v>
      </c>
      <c r="P3173" t="b">
        <v>0</v>
      </c>
      <c r="R3173" t="str">
        <f>"9781585113859"</f>
        <v>9781585113859</v>
      </c>
      <c r="S3173" t="str">
        <f>"9781423742821"</f>
        <v>9781423742821</v>
      </c>
      <c r="T3173">
        <v>62708505</v>
      </c>
    </row>
    <row r="3174" spans="1:20" x14ac:dyDescent="0.25">
      <c r="A3174">
        <v>141221</v>
      </c>
      <c r="B3174" t="s">
        <v>15284</v>
      </c>
      <c r="C3174" t="s">
        <v>15285</v>
      </c>
      <c r="D3174" t="s">
        <v>12141</v>
      </c>
      <c r="E3174" t="s">
        <v>12141</v>
      </c>
      <c r="F3174">
        <v>2001</v>
      </c>
      <c r="G3174" t="s">
        <v>14327</v>
      </c>
      <c r="H3174" t="s">
        <v>15286</v>
      </c>
      <c r="I3174" t="s">
        <v>15287</v>
      </c>
      <c r="J3174" t="s">
        <v>26</v>
      </c>
      <c r="K3174" t="s">
        <v>27</v>
      </c>
      <c r="L3174" t="b">
        <v>1</v>
      </c>
      <c r="M3174" t="s">
        <v>12144</v>
      </c>
      <c r="N3174" t="str">
        <f>"331.7"</f>
        <v>331.7</v>
      </c>
      <c r="O3174" t="s">
        <v>12145</v>
      </c>
      <c r="P3174" t="b">
        <v>0</v>
      </c>
      <c r="R3174" t="str">
        <f>"9781585113835"</f>
        <v>9781585113835</v>
      </c>
      <c r="S3174" t="str">
        <f>"9781423742869"</f>
        <v>9781423742869</v>
      </c>
      <c r="T3174">
        <v>62708493</v>
      </c>
    </row>
    <row r="3175" spans="1:20" x14ac:dyDescent="0.25">
      <c r="A3175">
        <v>141220</v>
      </c>
      <c r="B3175" t="s">
        <v>15288</v>
      </c>
      <c r="C3175" t="s">
        <v>15289</v>
      </c>
      <c r="D3175" t="s">
        <v>12141</v>
      </c>
      <c r="E3175" t="s">
        <v>12141</v>
      </c>
      <c r="F3175">
        <v>2001</v>
      </c>
      <c r="G3175" t="s">
        <v>14327</v>
      </c>
      <c r="H3175" t="s">
        <v>15290</v>
      </c>
      <c r="I3175" t="s">
        <v>15291</v>
      </c>
      <c r="J3175" t="s">
        <v>26</v>
      </c>
      <c r="K3175" t="s">
        <v>27</v>
      </c>
      <c r="L3175" t="b">
        <v>1</v>
      </c>
      <c r="M3175" t="s">
        <v>12144</v>
      </c>
      <c r="N3175" t="str">
        <f>"331.7"</f>
        <v>331.7</v>
      </c>
      <c r="O3175" t="s">
        <v>12145</v>
      </c>
      <c r="P3175" t="b">
        <v>0</v>
      </c>
      <c r="R3175" t="str">
        <f>"9781585113828"</f>
        <v>9781585113828</v>
      </c>
      <c r="S3175" t="str">
        <f>"9781423742883"</f>
        <v>9781423742883</v>
      </c>
      <c r="T3175">
        <v>62708459</v>
      </c>
    </row>
    <row r="3176" spans="1:20" x14ac:dyDescent="0.25">
      <c r="A3176">
        <v>141219</v>
      </c>
      <c r="B3176" t="s">
        <v>15292</v>
      </c>
      <c r="D3176" t="s">
        <v>12141</v>
      </c>
      <c r="E3176" t="s">
        <v>12141</v>
      </c>
      <c r="F3176">
        <v>2001</v>
      </c>
      <c r="G3176" t="s">
        <v>14327</v>
      </c>
      <c r="H3176" t="s">
        <v>15293</v>
      </c>
      <c r="I3176" t="s">
        <v>15294</v>
      </c>
      <c r="J3176" t="s">
        <v>26</v>
      </c>
      <c r="K3176" t="s">
        <v>27</v>
      </c>
      <c r="L3176" t="b">
        <v>1</v>
      </c>
      <c r="M3176" t="s">
        <v>12144</v>
      </c>
      <c r="N3176" t="str">
        <f>"331.7"</f>
        <v>331.7</v>
      </c>
      <c r="O3176" t="s">
        <v>12145</v>
      </c>
      <c r="P3176" t="b">
        <v>0</v>
      </c>
      <c r="R3176" t="str">
        <f>"9781585113811"</f>
        <v>9781585113811</v>
      </c>
      <c r="S3176" t="str">
        <f>"9781423743156"</f>
        <v>9781423743156</v>
      </c>
      <c r="T3176">
        <v>62744838</v>
      </c>
    </row>
    <row r="3177" spans="1:20" x14ac:dyDescent="0.25">
      <c r="A3177">
        <v>141216</v>
      </c>
      <c r="B3177" t="s">
        <v>15295</v>
      </c>
      <c r="C3177" t="s">
        <v>15296</v>
      </c>
      <c r="D3177" t="s">
        <v>12141</v>
      </c>
      <c r="E3177" t="s">
        <v>12141</v>
      </c>
      <c r="F3177">
        <v>2001</v>
      </c>
      <c r="G3177" t="s">
        <v>12874</v>
      </c>
      <c r="H3177" t="s">
        <v>15297</v>
      </c>
      <c r="I3177" t="s">
        <v>15298</v>
      </c>
      <c r="J3177" t="s">
        <v>26</v>
      </c>
      <c r="K3177" t="s">
        <v>27</v>
      </c>
      <c r="L3177" t="b">
        <v>1</v>
      </c>
      <c r="M3177" t="s">
        <v>12144</v>
      </c>
      <c r="N3177" t="str">
        <f>"610.69/53"</f>
        <v>610.69/53</v>
      </c>
      <c r="O3177" t="s">
        <v>12145</v>
      </c>
      <c r="P3177" t="b">
        <v>0</v>
      </c>
      <c r="R3177" t="str">
        <f>"9781585113057"</f>
        <v>9781585113057</v>
      </c>
      <c r="S3177" t="str">
        <f>"9781423743118"</f>
        <v>9781423743118</v>
      </c>
      <c r="T3177">
        <v>62744724</v>
      </c>
    </row>
    <row r="3178" spans="1:20" x14ac:dyDescent="0.25">
      <c r="A3178">
        <v>141212</v>
      </c>
      <c r="B3178" t="s">
        <v>15299</v>
      </c>
      <c r="C3178" t="s">
        <v>15300</v>
      </c>
      <c r="D3178" t="s">
        <v>12141</v>
      </c>
      <c r="E3178" t="s">
        <v>12141</v>
      </c>
      <c r="F3178">
        <v>2001</v>
      </c>
      <c r="G3178" t="s">
        <v>14327</v>
      </c>
      <c r="H3178" t="s">
        <v>15301</v>
      </c>
      <c r="I3178" t="s">
        <v>15302</v>
      </c>
      <c r="J3178" t="s">
        <v>26</v>
      </c>
      <c r="K3178" t="s">
        <v>27</v>
      </c>
      <c r="L3178" t="b">
        <v>1</v>
      </c>
      <c r="M3178" t="s">
        <v>12144</v>
      </c>
      <c r="N3178" t="str">
        <f>"331.7"</f>
        <v>331.7</v>
      </c>
      <c r="O3178" t="s">
        <v>12145</v>
      </c>
      <c r="P3178" t="b">
        <v>0</v>
      </c>
      <c r="R3178" t="str">
        <f>"9781585112357"</f>
        <v>9781585112357</v>
      </c>
      <c r="S3178" t="str">
        <f>"9781423742814"</f>
        <v>9781423742814</v>
      </c>
      <c r="T3178">
        <v>62708468</v>
      </c>
    </row>
    <row r="3179" spans="1:20" x14ac:dyDescent="0.25">
      <c r="A3179">
        <v>141210</v>
      </c>
      <c r="B3179" t="s">
        <v>15303</v>
      </c>
      <c r="C3179" t="s">
        <v>15304</v>
      </c>
      <c r="D3179" t="s">
        <v>12141</v>
      </c>
      <c r="E3179" t="s">
        <v>12141</v>
      </c>
      <c r="F3179">
        <v>2001</v>
      </c>
      <c r="G3179" t="s">
        <v>14327</v>
      </c>
      <c r="H3179" t="s">
        <v>15305</v>
      </c>
      <c r="I3179" t="s">
        <v>15306</v>
      </c>
      <c r="J3179" t="s">
        <v>26</v>
      </c>
      <c r="K3179" t="s">
        <v>27</v>
      </c>
      <c r="L3179" t="b">
        <v>1</v>
      </c>
      <c r="M3179" t="s">
        <v>12144</v>
      </c>
      <c r="N3179" t="str">
        <f>"331.7"</f>
        <v>331.7</v>
      </c>
      <c r="O3179" t="s">
        <v>12145</v>
      </c>
      <c r="P3179" t="b">
        <v>0</v>
      </c>
      <c r="R3179" t="str">
        <f>"9781585111978"</f>
        <v>9781585111978</v>
      </c>
      <c r="S3179" t="str">
        <f>"9781423743163"</f>
        <v>9781423743163</v>
      </c>
      <c r="T3179">
        <v>62744732</v>
      </c>
    </row>
    <row r="3180" spans="1:20" x14ac:dyDescent="0.25">
      <c r="A3180">
        <v>140597</v>
      </c>
      <c r="B3180" t="s">
        <v>15307</v>
      </c>
      <c r="C3180" t="s">
        <v>15308</v>
      </c>
      <c r="D3180" t="s">
        <v>10310</v>
      </c>
      <c r="E3180" t="s">
        <v>10310</v>
      </c>
      <c r="F3180">
        <v>2002</v>
      </c>
      <c r="H3180" t="s">
        <v>15309</v>
      </c>
      <c r="I3180" t="s">
        <v>15310</v>
      </c>
      <c r="J3180" t="s">
        <v>26</v>
      </c>
      <c r="K3180" t="s">
        <v>27</v>
      </c>
      <c r="L3180" t="b">
        <v>1</v>
      </c>
      <c r="M3180" t="s">
        <v>10582</v>
      </c>
      <c r="N3180" t="str">
        <f>"362.82/95"</f>
        <v>362.82/95</v>
      </c>
      <c r="P3180" t="b">
        <v>0</v>
      </c>
      <c r="R3180" t="str">
        <f>"9780826514042"</f>
        <v>9780826514042</v>
      </c>
      <c r="S3180" t="str">
        <f>"9781423728894"</f>
        <v>9781423728894</v>
      </c>
      <c r="T3180">
        <v>61859557</v>
      </c>
    </row>
    <row r="3181" spans="1:20" x14ac:dyDescent="0.25">
      <c r="A3181">
        <v>140596</v>
      </c>
      <c r="B3181" t="s">
        <v>15311</v>
      </c>
      <c r="C3181" t="s">
        <v>15312</v>
      </c>
      <c r="D3181" t="s">
        <v>10310</v>
      </c>
      <c r="E3181" t="s">
        <v>10310</v>
      </c>
      <c r="F3181">
        <v>2002</v>
      </c>
      <c r="G3181" t="s">
        <v>7509</v>
      </c>
      <c r="H3181" t="s">
        <v>15313</v>
      </c>
      <c r="I3181" t="s">
        <v>15314</v>
      </c>
      <c r="J3181" t="s">
        <v>26</v>
      </c>
      <c r="K3181" t="s">
        <v>27</v>
      </c>
      <c r="L3181" t="b">
        <v>1</v>
      </c>
      <c r="M3181" t="s">
        <v>15315</v>
      </c>
      <c r="N3181" t="str">
        <f>"973.929"</f>
        <v>973.929</v>
      </c>
      <c r="P3181" t="b">
        <v>0</v>
      </c>
      <c r="R3181" t="str">
        <f>"9780826514134"</f>
        <v>9780826514134</v>
      </c>
      <c r="S3181" t="str">
        <f>"9781423728924"</f>
        <v>9781423728924</v>
      </c>
      <c r="T3181">
        <v>61859555</v>
      </c>
    </row>
    <row r="3182" spans="1:20" x14ac:dyDescent="0.25">
      <c r="A3182">
        <v>140595</v>
      </c>
      <c r="B3182" t="s">
        <v>15316</v>
      </c>
      <c r="C3182" t="s">
        <v>15317</v>
      </c>
      <c r="D3182" t="s">
        <v>10310</v>
      </c>
      <c r="E3182" t="s">
        <v>10310</v>
      </c>
      <c r="F3182">
        <v>2002</v>
      </c>
      <c r="G3182" t="s">
        <v>2203</v>
      </c>
      <c r="H3182" t="s">
        <v>15318</v>
      </c>
      <c r="I3182" t="s">
        <v>15319</v>
      </c>
      <c r="J3182" t="s">
        <v>26</v>
      </c>
      <c r="K3182" t="s">
        <v>27</v>
      </c>
      <c r="L3182" t="b">
        <v>1</v>
      </c>
      <c r="M3182" t="s">
        <v>15320</v>
      </c>
      <c r="N3182" t="str">
        <f>"863/.3"</f>
        <v>863/.3</v>
      </c>
      <c r="P3182" t="b">
        <v>1</v>
      </c>
      <c r="R3182" t="str">
        <f>"9780826514066"</f>
        <v>9780826514066</v>
      </c>
      <c r="S3182" t="str">
        <f>"9781423728900"</f>
        <v>9781423728900</v>
      </c>
      <c r="T3182">
        <v>61859553</v>
      </c>
    </row>
    <row r="3183" spans="1:20" x14ac:dyDescent="0.25">
      <c r="A3183">
        <v>140594</v>
      </c>
      <c r="B3183" t="s">
        <v>15321</v>
      </c>
      <c r="C3183" t="s">
        <v>15322</v>
      </c>
      <c r="D3183" t="s">
        <v>10310</v>
      </c>
      <c r="E3183" t="s">
        <v>10310</v>
      </c>
      <c r="F3183">
        <v>2003</v>
      </c>
      <c r="G3183" t="s">
        <v>248</v>
      </c>
      <c r="H3183" t="s">
        <v>15323</v>
      </c>
      <c r="I3183" t="s">
        <v>15324</v>
      </c>
      <c r="J3183" t="s">
        <v>26</v>
      </c>
      <c r="K3183" t="s">
        <v>27</v>
      </c>
      <c r="L3183" t="b">
        <v>1</v>
      </c>
      <c r="M3183" t="s">
        <v>15325</v>
      </c>
      <c r="N3183" t="str">
        <f>"305.9/066"</f>
        <v>305.9/066</v>
      </c>
      <c r="P3183" t="b">
        <v>0</v>
      </c>
      <c r="R3183" t="str">
        <f>"9780826514349"</f>
        <v>9780826514349</v>
      </c>
      <c r="S3183" t="str">
        <f>"9781423728948"</f>
        <v>9781423728948</v>
      </c>
      <c r="T3183">
        <v>61859551</v>
      </c>
    </row>
    <row r="3184" spans="1:20" x14ac:dyDescent="0.25">
      <c r="A3184">
        <v>140593</v>
      </c>
      <c r="B3184" t="s">
        <v>15326</v>
      </c>
      <c r="C3184" t="s">
        <v>15327</v>
      </c>
      <c r="D3184" t="s">
        <v>10310</v>
      </c>
      <c r="E3184" t="s">
        <v>10310</v>
      </c>
      <c r="F3184">
        <v>2003</v>
      </c>
      <c r="G3184" t="s">
        <v>13624</v>
      </c>
      <c r="H3184" t="s">
        <v>15328</v>
      </c>
      <c r="I3184" t="s">
        <v>15329</v>
      </c>
      <c r="J3184" t="s">
        <v>26</v>
      </c>
      <c r="K3184" t="s">
        <v>27</v>
      </c>
      <c r="L3184" t="b">
        <v>1</v>
      </c>
      <c r="M3184" t="s">
        <v>15330</v>
      </c>
      <c r="N3184" t="str">
        <f>"362.1/6/097471"</f>
        <v>362.1/6/097471</v>
      </c>
      <c r="P3184" t="b">
        <v>0</v>
      </c>
      <c r="R3184" t="str">
        <f>"9780826514288"</f>
        <v>9780826514288</v>
      </c>
      <c r="S3184" t="str">
        <f>"9781423728955"</f>
        <v>9781423728955</v>
      </c>
      <c r="T3184">
        <v>61859547</v>
      </c>
    </row>
    <row r="3185" spans="1:20" x14ac:dyDescent="0.25">
      <c r="A3185">
        <v>140592</v>
      </c>
      <c r="B3185" t="s">
        <v>15331</v>
      </c>
      <c r="C3185" t="s">
        <v>15332</v>
      </c>
      <c r="D3185" t="s">
        <v>10310</v>
      </c>
      <c r="E3185" t="s">
        <v>10310</v>
      </c>
      <c r="F3185">
        <v>2004</v>
      </c>
      <c r="G3185" t="s">
        <v>197</v>
      </c>
      <c r="H3185" t="s">
        <v>15333</v>
      </c>
      <c r="I3185" t="s">
        <v>15334</v>
      </c>
      <c r="J3185" t="s">
        <v>26</v>
      </c>
      <c r="K3185" t="s">
        <v>27</v>
      </c>
      <c r="L3185" t="b">
        <v>1</v>
      </c>
      <c r="M3185" t="s">
        <v>15335</v>
      </c>
      <c r="N3185" t="str">
        <f>"809/.915"</f>
        <v>809/.915</v>
      </c>
      <c r="P3185" t="b">
        <v>0</v>
      </c>
      <c r="R3185" t="str">
        <f>"9780826514417"</f>
        <v>9780826514417</v>
      </c>
      <c r="S3185" t="str">
        <f>"9781423729495"</f>
        <v>9781423729495</v>
      </c>
      <c r="T3185">
        <v>61895663</v>
      </c>
    </row>
    <row r="3186" spans="1:20" x14ac:dyDescent="0.25">
      <c r="A3186">
        <v>140591</v>
      </c>
      <c r="B3186" t="s">
        <v>15336</v>
      </c>
      <c r="D3186" t="s">
        <v>10310</v>
      </c>
      <c r="E3186" t="s">
        <v>10310</v>
      </c>
      <c r="F3186">
        <v>2003</v>
      </c>
      <c r="G3186" t="s">
        <v>5469</v>
      </c>
      <c r="H3186" t="s">
        <v>15337</v>
      </c>
      <c r="I3186" t="s">
        <v>15338</v>
      </c>
      <c r="J3186" t="s">
        <v>26</v>
      </c>
      <c r="K3186" t="s">
        <v>27</v>
      </c>
      <c r="L3186" t="b">
        <v>1</v>
      </c>
      <c r="M3186" t="s">
        <v>15339</v>
      </c>
      <c r="N3186" t="str">
        <f>"860.9/112"</f>
        <v>860.9/112</v>
      </c>
      <c r="P3186" t="b">
        <v>0</v>
      </c>
      <c r="R3186" t="str">
        <f>"9780826514363"</f>
        <v>9780826514363</v>
      </c>
      <c r="S3186" t="str">
        <f>"9781423728931"</f>
        <v>9781423728931</v>
      </c>
      <c r="T3186">
        <v>61859546</v>
      </c>
    </row>
    <row r="3187" spans="1:20" x14ac:dyDescent="0.25">
      <c r="A3187">
        <v>140590</v>
      </c>
      <c r="B3187" t="s">
        <v>15340</v>
      </c>
      <c r="C3187" t="s">
        <v>15341</v>
      </c>
      <c r="D3187" t="s">
        <v>10310</v>
      </c>
      <c r="E3187" t="s">
        <v>10310</v>
      </c>
      <c r="F3187">
        <v>2003</v>
      </c>
      <c r="H3187" t="s">
        <v>15342</v>
      </c>
      <c r="I3187" t="s">
        <v>15343</v>
      </c>
      <c r="J3187" t="s">
        <v>26</v>
      </c>
      <c r="K3187" t="s">
        <v>27</v>
      </c>
      <c r="L3187" t="b">
        <v>1</v>
      </c>
      <c r="M3187" t="s">
        <v>15344</v>
      </c>
      <c r="N3187" t="str">
        <f>"323/.092/275662"</f>
        <v>323/.092/275662</v>
      </c>
      <c r="P3187" t="b">
        <v>0</v>
      </c>
      <c r="R3187" t="str">
        <f>"9780826514387"</f>
        <v>9780826514387</v>
      </c>
      <c r="S3187" t="str">
        <f>"9781423729488"</f>
        <v>9781423729488</v>
      </c>
      <c r="T3187">
        <v>61895499</v>
      </c>
    </row>
    <row r="3188" spans="1:20" x14ac:dyDescent="0.25">
      <c r="A3188">
        <v>140588</v>
      </c>
      <c r="B3188" t="s">
        <v>15345</v>
      </c>
      <c r="D3188" t="s">
        <v>10310</v>
      </c>
      <c r="E3188" t="s">
        <v>10310</v>
      </c>
      <c r="F3188">
        <v>2004</v>
      </c>
      <c r="G3188" t="s">
        <v>14566</v>
      </c>
      <c r="H3188" t="s">
        <v>15346</v>
      </c>
      <c r="I3188" t="s">
        <v>15347</v>
      </c>
      <c r="J3188" t="s">
        <v>26</v>
      </c>
      <c r="K3188" t="s">
        <v>27</v>
      </c>
      <c r="L3188" t="b">
        <v>1</v>
      </c>
      <c r="M3188" t="s">
        <v>15348</v>
      </c>
      <c r="N3188" t="str">
        <f>"306.76/8/092;B"</f>
        <v>306.76/8/092;B</v>
      </c>
      <c r="P3188" t="b">
        <v>0</v>
      </c>
      <c r="R3188" t="str">
        <f>"9780826514561"</f>
        <v>9780826514561</v>
      </c>
      <c r="S3188" t="str">
        <f>"9781423728917"</f>
        <v>9781423728917</v>
      </c>
      <c r="T3188">
        <v>61859542</v>
      </c>
    </row>
    <row r="3189" spans="1:20" x14ac:dyDescent="0.25">
      <c r="A3189">
        <v>140587</v>
      </c>
      <c r="B3189" t="s">
        <v>15349</v>
      </c>
      <c r="D3189" t="s">
        <v>10310</v>
      </c>
      <c r="E3189" t="s">
        <v>10310</v>
      </c>
      <c r="F3189">
        <v>2004</v>
      </c>
      <c r="G3189" t="s">
        <v>2417</v>
      </c>
      <c r="H3189" t="s">
        <v>15350</v>
      </c>
      <c r="I3189" t="s">
        <v>15351</v>
      </c>
      <c r="J3189" t="s">
        <v>26</v>
      </c>
      <c r="K3189" t="s">
        <v>27</v>
      </c>
      <c r="L3189" t="b">
        <v>1</v>
      </c>
      <c r="M3189" t="s">
        <v>15352</v>
      </c>
      <c r="N3189" t="str">
        <f>"813/.3;B"</f>
        <v>813/.3;B</v>
      </c>
      <c r="P3189" t="b">
        <v>0</v>
      </c>
      <c r="R3189" t="str">
        <f>"9780826513823"</f>
        <v>9780826513823</v>
      </c>
      <c r="S3189" t="str">
        <f>"9781423728887"</f>
        <v>9781423728887</v>
      </c>
      <c r="T3189">
        <v>61859539</v>
      </c>
    </row>
    <row r="3190" spans="1:20" x14ac:dyDescent="0.25">
      <c r="A3190">
        <v>140585</v>
      </c>
      <c r="B3190" t="s">
        <v>15353</v>
      </c>
      <c r="D3190" t="s">
        <v>10310</v>
      </c>
      <c r="E3190" t="s">
        <v>10310</v>
      </c>
      <c r="F3190">
        <v>2005</v>
      </c>
      <c r="G3190" t="s">
        <v>2417</v>
      </c>
      <c r="H3190" t="s">
        <v>15354</v>
      </c>
      <c r="I3190" t="s">
        <v>15355</v>
      </c>
      <c r="J3190" t="s">
        <v>26</v>
      </c>
      <c r="K3190" t="s">
        <v>27</v>
      </c>
      <c r="L3190" t="b">
        <v>1</v>
      </c>
      <c r="M3190" t="s">
        <v>15356</v>
      </c>
      <c r="N3190" t="str">
        <f>"818/.5209"</f>
        <v>818/.5209</v>
      </c>
      <c r="P3190" t="b">
        <v>0</v>
      </c>
      <c r="R3190" t="str">
        <f>"9780826514622"</f>
        <v>9780826514622</v>
      </c>
      <c r="S3190" t="str">
        <f>"9781423728979"</f>
        <v>9781423728979</v>
      </c>
      <c r="T3190">
        <v>61855920</v>
      </c>
    </row>
    <row r="3191" spans="1:20" x14ac:dyDescent="0.25">
      <c r="A3191">
        <v>140560</v>
      </c>
      <c r="B3191" t="s">
        <v>15357</v>
      </c>
      <c r="C3191" t="s">
        <v>15358</v>
      </c>
      <c r="D3191" t="s">
        <v>5828</v>
      </c>
      <c r="E3191" t="s">
        <v>12469</v>
      </c>
      <c r="F3191">
        <v>2002</v>
      </c>
      <c r="H3191" t="s">
        <v>15359</v>
      </c>
      <c r="J3191" t="s">
        <v>26</v>
      </c>
      <c r="K3191" t="s">
        <v>27</v>
      </c>
      <c r="L3191" t="b">
        <v>1</v>
      </c>
      <c r="M3191" t="s">
        <v>15360</v>
      </c>
      <c r="N3191" t="str">
        <f>"181/.112"</f>
        <v>181/.112</v>
      </c>
      <c r="P3191" t="b">
        <v>0</v>
      </c>
      <c r="R3191" t="str">
        <f>"9780195133967"</f>
        <v>9780195133967</v>
      </c>
      <c r="S3191" t="str">
        <f>"9781423727484"</f>
        <v>9781423727484</v>
      </c>
      <c r="T3191">
        <v>252576431</v>
      </c>
    </row>
    <row r="3192" spans="1:20" x14ac:dyDescent="0.25">
      <c r="A3192">
        <v>140547</v>
      </c>
      <c r="B3192" t="s">
        <v>15361</v>
      </c>
      <c r="D3192" t="s">
        <v>5828</v>
      </c>
      <c r="E3192" t="s">
        <v>12469</v>
      </c>
      <c r="F3192">
        <v>2003</v>
      </c>
      <c r="G3192" t="s">
        <v>4520</v>
      </c>
      <c r="H3192" t="s">
        <v>15362</v>
      </c>
      <c r="I3192" t="s">
        <v>15363</v>
      </c>
      <c r="J3192" t="s">
        <v>26</v>
      </c>
      <c r="K3192" t="s">
        <v>27</v>
      </c>
      <c r="L3192" t="b">
        <v>1</v>
      </c>
      <c r="M3192" t="s">
        <v>15364</v>
      </c>
      <c r="N3192" t="str">
        <f>"150.19/52/0711"</f>
        <v>150.19/52/0711</v>
      </c>
      <c r="O3192" t="s">
        <v>15365</v>
      </c>
      <c r="P3192" t="b">
        <v>0</v>
      </c>
      <c r="R3192" t="str">
        <f>"9780195157697"</f>
        <v>9780195157697</v>
      </c>
      <c r="S3192" t="str">
        <f>"9781423726708"</f>
        <v>9781423726708</v>
      </c>
      <c r="T3192">
        <v>61730880</v>
      </c>
    </row>
    <row r="3193" spans="1:20" x14ac:dyDescent="0.25">
      <c r="A3193">
        <v>138626</v>
      </c>
      <c r="B3193" t="s">
        <v>15366</v>
      </c>
      <c r="D3193" t="s">
        <v>15367</v>
      </c>
      <c r="E3193" t="s">
        <v>15367</v>
      </c>
      <c r="F3193">
        <v>2003</v>
      </c>
      <c r="G3193" t="s">
        <v>4060</v>
      </c>
      <c r="H3193" t="s">
        <v>15368</v>
      </c>
      <c r="I3193" t="s">
        <v>15369</v>
      </c>
      <c r="J3193" t="s">
        <v>26</v>
      </c>
      <c r="K3193" t="s">
        <v>27</v>
      </c>
      <c r="L3193" t="b">
        <v>1</v>
      </c>
      <c r="M3193" t="s">
        <v>15370</v>
      </c>
      <c r="N3193" t="str">
        <f>"320.1"</f>
        <v>320.1</v>
      </c>
      <c r="P3193" t="b">
        <v>0</v>
      </c>
      <c r="R3193" t="str">
        <f>"9780262012041"</f>
        <v>9780262012041</v>
      </c>
      <c r="S3193" t="str">
        <f>"9780262266963"</f>
        <v>9780262266963</v>
      </c>
      <c r="T3193">
        <v>61678057</v>
      </c>
    </row>
    <row r="3194" spans="1:20" x14ac:dyDescent="0.25">
      <c r="A3194">
        <v>137260</v>
      </c>
      <c r="B3194" t="s">
        <v>15371</v>
      </c>
      <c r="C3194" t="s">
        <v>15372</v>
      </c>
      <c r="D3194" t="s">
        <v>10161</v>
      </c>
      <c r="E3194" t="s">
        <v>10161</v>
      </c>
      <c r="F3194">
        <v>2005</v>
      </c>
      <c r="G3194" t="s">
        <v>2156</v>
      </c>
      <c r="H3194" t="s">
        <v>15373</v>
      </c>
      <c r="I3194" t="s">
        <v>15374</v>
      </c>
      <c r="J3194" t="s">
        <v>26</v>
      </c>
      <c r="K3194" t="s">
        <v>27</v>
      </c>
      <c r="L3194" t="b">
        <v>1</v>
      </c>
      <c r="M3194" t="s">
        <v>15375</v>
      </c>
      <c r="N3194" t="str">
        <f>"333.91/62153/09477"</f>
        <v>333.91/62153/09477</v>
      </c>
      <c r="P3194" t="b">
        <v>0</v>
      </c>
      <c r="R3194" t="str">
        <f>"9780889628274"</f>
        <v>9780889628274</v>
      </c>
      <c r="S3194" t="str">
        <f>"9781552501382"</f>
        <v>9781552501382</v>
      </c>
      <c r="T3194">
        <v>61366645</v>
      </c>
    </row>
    <row r="3195" spans="1:20" x14ac:dyDescent="0.25">
      <c r="A3195">
        <v>137134</v>
      </c>
      <c r="B3195" t="s">
        <v>15376</v>
      </c>
      <c r="C3195" t="s">
        <v>15377</v>
      </c>
      <c r="D3195" t="s">
        <v>12141</v>
      </c>
      <c r="E3195" t="s">
        <v>12141</v>
      </c>
      <c r="F3195">
        <v>2005</v>
      </c>
      <c r="G3195" t="s">
        <v>15273</v>
      </c>
      <c r="H3195" t="s">
        <v>15378</v>
      </c>
      <c r="I3195" t="s">
        <v>15379</v>
      </c>
      <c r="J3195" t="s">
        <v>26</v>
      </c>
      <c r="K3195" t="s">
        <v>27</v>
      </c>
      <c r="L3195" t="b">
        <v>1</v>
      </c>
      <c r="M3195" t="s">
        <v>12144</v>
      </c>
      <c r="N3195" t="str">
        <f>"630.203"</f>
        <v>630.203</v>
      </c>
      <c r="O3195" t="s">
        <v>12145</v>
      </c>
      <c r="P3195" t="b">
        <v>0</v>
      </c>
      <c r="R3195" t="str">
        <f>"9781585112425"</f>
        <v>9781585112425</v>
      </c>
      <c r="S3195" t="str">
        <f>"9781423725855"</f>
        <v>9781423725855</v>
      </c>
      <c r="T3195">
        <v>61689559</v>
      </c>
    </row>
    <row r="3196" spans="1:20" x14ac:dyDescent="0.25">
      <c r="A3196">
        <v>137116</v>
      </c>
      <c r="B3196" t="s">
        <v>15380</v>
      </c>
      <c r="C3196" t="s">
        <v>15381</v>
      </c>
      <c r="D3196" t="s">
        <v>12141</v>
      </c>
      <c r="E3196" t="s">
        <v>12141</v>
      </c>
      <c r="F3196">
        <v>2005</v>
      </c>
      <c r="G3196" t="s">
        <v>9623</v>
      </c>
      <c r="H3196" t="s">
        <v>15382</v>
      </c>
      <c r="I3196" t="s">
        <v>15383</v>
      </c>
      <c r="J3196" t="s">
        <v>26</v>
      </c>
      <c r="K3196" t="s">
        <v>27</v>
      </c>
      <c r="L3196" t="b">
        <v>1</v>
      </c>
      <c r="M3196" t="s">
        <v>12144</v>
      </c>
      <c r="N3196" t="str">
        <f>"617.6/01023"</f>
        <v>617.6/01023</v>
      </c>
      <c r="O3196" t="s">
        <v>12145</v>
      </c>
      <c r="P3196" t="b">
        <v>0</v>
      </c>
      <c r="R3196" t="str">
        <f>"9781585110865"</f>
        <v>9781585110865</v>
      </c>
      <c r="S3196" t="str">
        <f>"9781423725688"</f>
        <v>9781423725688</v>
      </c>
      <c r="T3196">
        <v>61851676</v>
      </c>
    </row>
    <row r="3197" spans="1:20" x14ac:dyDescent="0.25">
      <c r="A3197">
        <v>137114</v>
      </c>
      <c r="B3197" t="s">
        <v>15384</v>
      </c>
      <c r="D3197" t="s">
        <v>12141</v>
      </c>
      <c r="E3197" t="s">
        <v>12141</v>
      </c>
      <c r="F3197">
        <v>2005</v>
      </c>
      <c r="G3197" t="s">
        <v>6758</v>
      </c>
      <c r="H3197" t="s">
        <v>15385</v>
      </c>
      <c r="I3197" t="s">
        <v>15386</v>
      </c>
      <c r="J3197" t="s">
        <v>26</v>
      </c>
      <c r="K3197" t="s">
        <v>27</v>
      </c>
      <c r="L3197" t="b">
        <v>1</v>
      </c>
      <c r="M3197" t="s">
        <v>12144</v>
      </c>
      <c r="N3197" t="str">
        <f>"540.23"</f>
        <v>540.23</v>
      </c>
      <c r="O3197" t="s">
        <v>12145</v>
      </c>
      <c r="P3197" t="b">
        <v>0</v>
      </c>
      <c r="R3197" t="str">
        <f>"9781585113750"</f>
        <v>9781585113750</v>
      </c>
      <c r="S3197" t="str">
        <f>"9781423725800"</f>
        <v>9781423725800</v>
      </c>
      <c r="T3197">
        <v>61851670</v>
      </c>
    </row>
    <row r="3198" spans="1:20" x14ac:dyDescent="0.25">
      <c r="A3198">
        <v>136611</v>
      </c>
      <c r="B3198" t="s">
        <v>15387</v>
      </c>
      <c r="D3198" t="s">
        <v>2238</v>
      </c>
      <c r="E3198" t="s">
        <v>2239</v>
      </c>
      <c r="F3198">
        <v>2000</v>
      </c>
      <c r="G3198" t="s">
        <v>182</v>
      </c>
      <c r="H3198" t="s">
        <v>15388</v>
      </c>
      <c r="J3198" t="s">
        <v>26</v>
      </c>
      <c r="K3198" t="s">
        <v>27</v>
      </c>
      <c r="L3198" t="b">
        <v>1</v>
      </c>
      <c r="M3198" t="s">
        <v>15389</v>
      </c>
      <c r="N3198" t="str">
        <f>"306/.094"</f>
        <v>306/.094</v>
      </c>
      <c r="P3198" t="b">
        <v>0</v>
      </c>
      <c r="R3198" t="str">
        <f>"9780415158640"</f>
        <v>9780415158640</v>
      </c>
      <c r="S3198" t="str">
        <f>"9780203983591"</f>
        <v>9780203983591</v>
      </c>
      <c r="T3198">
        <v>133162718</v>
      </c>
    </row>
    <row r="3199" spans="1:20" x14ac:dyDescent="0.25">
      <c r="A3199">
        <v>136284</v>
      </c>
      <c r="B3199" t="s">
        <v>15390</v>
      </c>
      <c r="D3199" t="s">
        <v>8514</v>
      </c>
      <c r="E3199" t="s">
        <v>8515</v>
      </c>
      <c r="F3199">
        <v>2002</v>
      </c>
      <c r="G3199" t="s">
        <v>15391</v>
      </c>
      <c r="H3199" t="s">
        <v>15392</v>
      </c>
      <c r="I3199" t="s">
        <v>15393</v>
      </c>
      <c r="J3199" t="s">
        <v>26</v>
      </c>
      <c r="K3199" t="s">
        <v>27</v>
      </c>
      <c r="L3199" t="b">
        <v>1</v>
      </c>
      <c r="M3199" t="s">
        <v>15394</v>
      </c>
      <c r="N3199" t="str">
        <f>"530.12"</f>
        <v>530.12</v>
      </c>
      <c r="P3199" t="b">
        <v>0</v>
      </c>
      <c r="Q3199" t="b">
        <v>0</v>
      </c>
      <c r="R3199" t="str">
        <f>"9780968368985"</f>
        <v>9780968368985</v>
      </c>
      <c r="S3199" t="str">
        <f>"9781441662088"</f>
        <v>9781441662088</v>
      </c>
      <c r="T3199">
        <v>656841588</v>
      </c>
    </row>
    <row r="3200" spans="1:20" x14ac:dyDescent="0.25">
      <c r="A3200">
        <v>136230</v>
      </c>
      <c r="B3200" t="s">
        <v>15395</v>
      </c>
      <c r="C3200" t="s">
        <v>15396</v>
      </c>
      <c r="D3200" t="s">
        <v>15024</v>
      </c>
      <c r="E3200" t="s">
        <v>15397</v>
      </c>
      <c r="F3200">
        <v>1994</v>
      </c>
      <c r="G3200" t="s">
        <v>8580</v>
      </c>
      <c r="H3200" t="s">
        <v>15398</v>
      </c>
      <c r="I3200" t="s">
        <v>15399</v>
      </c>
      <c r="J3200" t="s">
        <v>26</v>
      </c>
      <c r="K3200" t="s">
        <v>86</v>
      </c>
      <c r="L3200" t="b">
        <v>1</v>
      </c>
      <c r="M3200" t="s">
        <v>15400</v>
      </c>
      <c r="N3200" t="str">
        <f>"615/.19"</f>
        <v>615/.19</v>
      </c>
      <c r="O3200" t="s">
        <v>15401</v>
      </c>
      <c r="P3200" t="b">
        <v>0</v>
      </c>
      <c r="R3200" t="str">
        <f>"9780133367935"</f>
        <v>9780133367935</v>
      </c>
      <c r="S3200" t="str">
        <f>"9780203999882"</f>
        <v>9780203999882</v>
      </c>
      <c r="T3200">
        <v>61153870</v>
      </c>
    </row>
    <row r="3201" spans="1:20" x14ac:dyDescent="0.25">
      <c r="A3201">
        <v>136229</v>
      </c>
      <c r="B3201" t="s">
        <v>15402</v>
      </c>
      <c r="C3201" t="s">
        <v>15403</v>
      </c>
      <c r="D3201" t="s">
        <v>2238</v>
      </c>
      <c r="E3201" t="s">
        <v>2239</v>
      </c>
      <c r="F3201">
        <v>2005</v>
      </c>
      <c r="G3201" t="s">
        <v>1649</v>
      </c>
      <c r="H3201" t="s">
        <v>15404</v>
      </c>
      <c r="I3201" t="s">
        <v>15405</v>
      </c>
      <c r="J3201" t="s">
        <v>26</v>
      </c>
      <c r="K3201" t="s">
        <v>86</v>
      </c>
      <c r="L3201" t="b">
        <v>1</v>
      </c>
      <c r="M3201" t="s">
        <v>15406</v>
      </c>
      <c r="N3201" t="str">
        <f>"327.729073"</f>
        <v>327.729073</v>
      </c>
      <c r="O3201" t="s">
        <v>15407</v>
      </c>
      <c r="P3201" t="b">
        <v>0</v>
      </c>
      <c r="R3201" t="str">
        <f>"9780415950459"</f>
        <v>9780415950459</v>
      </c>
      <c r="S3201" t="str">
        <f>"9780203997901"</f>
        <v>9780203997901</v>
      </c>
      <c r="T3201">
        <v>61142344</v>
      </c>
    </row>
    <row r="3202" spans="1:20" x14ac:dyDescent="0.25">
      <c r="A3202">
        <v>136081</v>
      </c>
      <c r="B3202" t="s">
        <v>15408</v>
      </c>
      <c r="C3202" t="s">
        <v>15409</v>
      </c>
      <c r="D3202" t="s">
        <v>10161</v>
      </c>
      <c r="E3202" t="s">
        <v>10161</v>
      </c>
      <c r="F3202">
        <v>2005</v>
      </c>
      <c r="G3202" t="s">
        <v>8619</v>
      </c>
      <c r="H3202" t="s">
        <v>15410</v>
      </c>
      <c r="I3202" t="s">
        <v>15411</v>
      </c>
      <c r="J3202" t="s">
        <v>512</v>
      </c>
      <c r="K3202" t="s">
        <v>27</v>
      </c>
      <c r="L3202" t="b">
        <v>1</v>
      </c>
      <c r="M3202" t="s">
        <v>15412</v>
      </c>
      <c r="N3202" t="str">
        <f>"363.7"</f>
        <v>363.7</v>
      </c>
      <c r="O3202" t="s">
        <v>15413</v>
      </c>
      <c r="P3202" t="b">
        <v>0</v>
      </c>
      <c r="R3202" t="str">
        <f>"9781552501740"</f>
        <v>9781552501740</v>
      </c>
      <c r="S3202" t="str">
        <f>"9781552501962"</f>
        <v>9781552501962</v>
      </c>
      <c r="T3202">
        <v>61323651</v>
      </c>
    </row>
    <row r="3203" spans="1:20" x14ac:dyDescent="0.25">
      <c r="A3203">
        <v>136080</v>
      </c>
      <c r="B3203" t="s">
        <v>15414</v>
      </c>
      <c r="C3203" t="s">
        <v>15415</v>
      </c>
      <c r="D3203" t="s">
        <v>10161</v>
      </c>
      <c r="E3203" t="s">
        <v>10161</v>
      </c>
      <c r="F3203">
        <v>2003</v>
      </c>
      <c r="G3203" t="s">
        <v>8619</v>
      </c>
      <c r="H3203" t="s">
        <v>15416</v>
      </c>
      <c r="I3203" t="s">
        <v>15417</v>
      </c>
      <c r="J3203" t="s">
        <v>503</v>
      </c>
      <c r="K3203" t="s">
        <v>27</v>
      </c>
      <c r="L3203" t="b">
        <v>1</v>
      </c>
      <c r="M3203" t="s">
        <v>15412</v>
      </c>
      <c r="N3203" t="str">
        <f>"363.7"</f>
        <v>363.7</v>
      </c>
      <c r="O3203" t="s">
        <v>14336</v>
      </c>
      <c r="P3203" t="b">
        <v>0</v>
      </c>
      <c r="R3203" t="str">
        <f>"9781552500132"</f>
        <v>9781552500132</v>
      </c>
      <c r="S3203" t="str">
        <f>"9781552501955"</f>
        <v>9781552501955</v>
      </c>
      <c r="T3203">
        <v>61245025</v>
      </c>
    </row>
    <row r="3204" spans="1:20" x14ac:dyDescent="0.25">
      <c r="A3204">
        <v>136079</v>
      </c>
      <c r="B3204" t="s">
        <v>15418</v>
      </c>
      <c r="C3204" t="s">
        <v>15419</v>
      </c>
      <c r="D3204" t="s">
        <v>10161</v>
      </c>
      <c r="E3204" t="s">
        <v>10161</v>
      </c>
      <c r="F3204">
        <v>2003</v>
      </c>
      <c r="G3204" t="s">
        <v>8619</v>
      </c>
      <c r="H3204" t="s">
        <v>15420</v>
      </c>
      <c r="I3204" t="s">
        <v>15417</v>
      </c>
      <c r="J3204" t="s">
        <v>26</v>
      </c>
      <c r="K3204" t="s">
        <v>27</v>
      </c>
      <c r="L3204" t="b">
        <v>1</v>
      </c>
      <c r="M3204" t="s">
        <v>15412</v>
      </c>
      <c r="N3204" t="str">
        <f>"363.7"</f>
        <v>363.7</v>
      </c>
      <c r="O3204" t="s">
        <v>14339</v>
      </c>
      <c r="P3204" t="b">
        <v>0</v>
      </c>
      <c r="R3204" t="str">
        <f>"9781552500125"</f>
        <v>9781552500125</v>
      </c>
      <c r="S3204" t="str">
        <f>"9781552501948"</f>
        <v>9781552501948</v>
      </c>
      <c r="T3204">
        <v>61315584</v>
      </c>
    </row>
    <row r="3205" spans="1:20" x14ac:dyDescent="0.25">
      <c r="A3205">
        <v>136075</v>
      </c>
      <c r="B3205" t="s">
        <v>15421</v>
      </c>
      <c r="D3205" t="s">
        <v>10161</v>
      </c>
      <c r="E3205" t="s">
        <v>10161</v>
      </c>
      <c r="F3205">
        <v>2004</v>
      </c>
      <c r="G3205" t="s">
        <v>14332</v>
      </c>
      <c r="H3205" t="s">
        <v>15422</v>
      </c>
      <c r="I3205" t="s">
        <v>15423</v>
      </c>
      <c r="J3205" t="s">
        <v>503</v>
      </c>
      <c r="K3205" t="s">
        <v>27</v>
      </c>
      <c r="L3205" t="b">
        <v>1</v>
      </c>
      <c r="M3205" t="s">
        <v>15424</v>
      </c>
      <c r="N3205" t="str">
        <f>"362.10425709678"</f>
        <v>362.10425709678</v>
      </c>
      <c r="O3205" t="s">
        <v>14336</v>
      </c>
      <c r="P3205" t="b">
        <v>0</v>
      </c>
      <c r="R3205" t="str">
        <f>"9781552501566"</f>
        <v>9781552501566</v>
      </c>
      <c r="S3205" t="str">
        <f>"9781552501931"</f>
        <v>9781552501931</v>
      </c>
      <c r="T3205">
        <v>61255397</v>
      </c>
    </row>
    <row r="3206" spans="1:20" x14ac:dyDescent="0.25">
      <c r="A3206">
        <v>136074</v>
      </c>
      <c r="B3206" t="s">
        <v>14337</v>
      </c>
      <c r="D3206" t="s">
        <v>10161</v>
      </c>
      <c r="E3206" t="s">
        <v>10161</v>
      </c>
      <c r="F3206">
        <v>2004</v>
      </c>
      <c r="G3206" t="s">
        <v>14332</v>
      </c>
      <c r="H3206" t="s">
        <v>15425</v>
      </c>
      <c r="I3206" t="s">
        <v>15426</v>
      </c>
      <c r="J3206" t="s">
        <v>26</v>
      </c>
      <c r="K3206" t="s">
        <v>27</v>
      </c>
      <c r="L3206" t="b">
        <v>1</v>
      </c>
      <c r="M3206" t="s">
        <v>14338</v>
      </c>
      <c r="N3206" t="str">
        <f>"362.109678"</f>
        <v>362.109678</v>
      </c>
      <c r="O3206" t="s">
        <v>14339</v>
      </c>
      <c r="P3206" t="b">
        <v>0</v>
      </c>
      <c r="R3206" t="str">
        <f>"9781552501559"</f>
        <v>9781552501559</v>
      </c>
      <c r="S3206" t="str">
        <f>"9781552501924"</f>
        <v>9781552501924</v>
      </c>
      <c r="T3206">
        <v>560033736</v>
      </c>
    </row>
    <row r="3207" spans="1:20" x14ac:dyDescent="0.25">
      <c r="A3207">
        <v>135927</v>
      </c>
      <c r="B3207" t="s">
        <v>15427</v>
      </c>
      <c r="C3207" t="s">
        <v>15428</v>
      </c>
      <c r="D3207" t="s">
        <v>10161</v>
      </c>
      <c r="E3207" t="s">
        <v>10161</v>
      </c>
      <c r="F3207">
        <v>2004</v>
      </c>
      <c r="G3207" t="s">
        <v>8293</v>
      </c>
      <c r="H3207" t="s">
        <v>15429</v>
      </c>
      <c r="I3207" t="s">
        <v>15430</v>
      </c>
      <c r="J3207" t="s">
        <v>512</v>
      </c>
      <c r="K3207" t="s">
        <v>27</v>
      </c>
      <c r="L3207" t="b">
        <v>1</v>
      </c>
      <c r="M3207" t="s">
        <v>15431</v>
      </c>
      <c r="N3207" t="str">
        <f>"363.61098"</f>
        <v>363.61098</v>
      </c>
      <c r="P3207" t="b">
        <v>0</v>
      </c>
      <c r="R3207" t="str">
        <f>"9789685536332"</f>
        <v>9789685536332</v>
      </c>
      <c r="S3207" t="str">
        <f>"9781552501474"</f>
        <v>9781552501474</v>
      </c>
      <c r="T3207">
        <v>61296785</v>
      </c>
    </row>
    <row r="3208" spans="1:20" x14ac:dyDescent="0.25">
      <c r="A3208">
        <v>135619</v>
      </c>
      <c r="B3208" t="s">
        <v>15432</v>
      </c>
      <c r="D3208" t="s">
        <v>8514</v>
      </c>
      <c r="E3208" t="s">
        <v>8515</v>
      </c>
      <c r="F3208">
        <v>2000</v>
      </c>
      <c r="G3208" t="s">
        <v>15391</v>
      </c>
      <c r="H3208" t="s">
        <v>15433</v>
      </c>
      <c r="I3208" t="s">
        <v>15434</v>
      </c>
      <c r="J3208" t="s">
        <v>26</v>
      </c>
      <c r="K3208" t="s">
        <v>27</v>
      </c>
      <c r="L3208" t="b">
        <v>1</v>
      </c>
      <c r="M3208" t="s">
        <v>15435</v>
      </c>
      <c r="N3208" t="str">
        <f>"530/.12/092"</f>
        <v>530/.12/092</v>
      </c>
      <c r="P3208" t="b">
        <v>0</v>
      </c>
      <c r="Q3208" t="b">
        <v>0</v>
      </c>
      <c r="R3208" t="str">
        <f>"9780968368954"</f>
        <v>9780968368954</v>
      </c>
      <c r="S3208" t="str">
        <f>"9781423715153"</f>
        <v>9781423715153</v>
      </c>
      <c r="T3208">
        <v>61113725</v>
      </c>
    </row>
    <row r="3209" spans="1:20" x14ac:dyDescent="0.25">
      <c r="A3209">
        <v>135618</v>
      </c>
      <c r="B3209" t="s">
        <v>15436</v>
      </c>
      <c r="C3209" t="s">
        <v>15437</v>
      </c>
      <c r="D3209" t="s">
        <v>8514</v>
      </c>
      <c r="E3209" t="s">
        <v>8515</v>
      </c>
      <c r="F3209">
        <v>2000</v>
      </c>
      <c r="G3209" t="s">
        <v>3736</v>
      </c>
      <c r="H3209" t="s">
        <v>15438</v>
      </c>
      <c r="I3209" t="s">
        <v>15439</v>
      </c>
      <c r="J3209" t="s">
        <v>26</v>
      </c>
      <c r="K3209" t="s">
        <v>27</v>
      </c>
      <c r="L3209" t="b">
        <v>1</v>
      </c>
      <c r="M3209" t="s">
        <v>15440</v>
      </c>
      <c r="N3209" t="str">
        <f>"521"</f>
        <v>521</v>
      </c>
      <c r="P3209" t="b">
        <v>0</v>
      </c>
      <c r="Q3209" t="b">
        <v>0</v>
      </c>
      <c r="R3209" t="str">
        <f>"9780968368930"</f>
        <v>9780968368930</v>
      </c>
      <c r="S3209" t="str">
        <f>"9781423715146"</f>
        <v>9781423715146</v>
      </c>
      <c r="T3209">
        <v>61113732</v>
      </c>
    </row>
    <row r="3210" spans="1:20" x14ac:dyDescent="0.25">
      <c r="A3210">
        <v>135584</v>
      </c>
      <c r="B3210" t="s">
        <v>15441</v>
      </c>
      <c r="C3210" t="s">
        <v>15442</v>
      </c>
      <c r="D3210" t="s">
        <v>15443</v>
      </c>
      <c r="E3210" t="s">
        <v>15443</v>
      </c>
      <c r="F3210">
        <v>2004</v>
      </c>
      <c r="G3210" t="s">
        <v>7599</v>
      </c>
      <c r="H3210" t="s">
        <v>15444</v>
      </c>
      <c r="I3210" t="s">
        <v>15445</v>
      </c>
      <c r="J3210" t="s">
        <v>26</v>
      </c>
      <c r="K3210" t="s">
        <v>27</v>
      </c>
      <c r="L3210" t="b">
        <v>1</v>
      </c>
      <c r="N3210" t="str">
        <f>"362.198/92/000973"</f>
        <v>362.198/92/000973</v>
      </c>
      <c r="P3210" t="b">
        <v>0</v>
      </c>
      <c r="R3210" t="str">
        <f>"9781563437809"</f>
        <v>9781563437809</v>
      </c>
      <c r="S3210" t="str">
        <f>"9781563438011"</f>
        <v>9781563438011</v>
      </c>
      <c r="T3210">
        <v>85858070</v>
      </c>
    </row>
    <row r="3211" spans="1:20" x14ac:dyDescent="0.25">
      <c r="A3211">
        <v>135561</v>
      </c>
      <c r="B3211" t="s">
        <v>15446</v>
      </c>
      <c r="D3211" t="s">
        <v>6269</v>
      </c>
      <c r="E3211" t="s">
        <v>14381</v>
      </c>
      <c r="F3211">
        <v>2005</v>
      </c>
      <c r="G3211" t="s">
        <v>535</v>
      </c>
      <c r="H3211" t="s">
        <v>15447</v>
      </c>
      <c r="I3211" t="s">
        <v>15448</v>
      </c>
      <c r="J3211" t="s">
        <v>26</v>
      </c>
      <c r="K3211" t="s">
        <v>27</v>
      </c>
      <c r="L3211" t="b">
        <v>1</v>
      </c>
      <c r="M3211" t="s">
        <v>15449</v>
      </c>
      <c r="N3211" t="str">
        <f>"519.5"</f>
        <v>519.5</v>
      </c>
      <c r="P3211" t="b">
        <v>0</v>
      </c>
      <c r="R3211" t="str">
        <f>"9781590475751"</f>
        <v>9781590475751</v>
      </c>
      <c r="S3211" t="str">
        <f>"9781590478325"</f>
        <v>9781590478325</v>
      </c>
      <c r="T3211">
        <v>61409076</v>
      </c>
    </row>
    <row r="3212" spans="1:20" x14ac:dyDescent="0.25">
      <c r="A3212">
        <v>135512</v>
      </c>
      <c r="B3212" t="s">
        <v>15450</v>
      </c>
      <c r="C3212" t="s">
        <v>15451</v>
      </c>
      <c r="D3212" t="s">
        <v>15024</v>
      </c>
      <c r="E3212" t="s">
        <v>15452</v>
      </c>
      <c r="F3212">
        <v>2000</v>
      </c>
      <c r="G3212" t="s">
        <v>2209</v>
      </c>
      <c r="H3212" t="s">
        <v>15453</v>
      </c>
      <c r="I3212" t="s">
        <v>15454</v>
      </c>
      <c r="J3212" t="s">
        <v>26</v>
      </c>
      <c r="K3212" t="s">
        <v>27</v>
      </c>
      <c r="L3212" t="b">
        <v>1</v>
      </c>
      <c r="M3212" t="s">
        <v>15455</v>
      </c>
      <c r="N3212" t="str">
        <f>"658/.05"</f>
        <v>658/.05</v>
      </c>
      <c r="O3212" t="s">
        <v>15456</v>
      </c>
      <c r="P3212" t="b">
        <v>0</v>
      </c>
      <c r="R3212" t="str">
        <f>"9780849308758"</f>
        <v>9780849308758</v>
      </c>
      <c r="S3212" t="str">
        <f>"9780203997482"</f>
        <v>9780203997482</v>
      </c>
      <c r="T3212">
        <v>60931533</v>
      </c>
    </row>
    <row r="3213" spans="1:20" x14ac:dyDescent="0.25">
      <c r="A3213">
        <v>135478</v>
      </c>
      <c r="B3213" t="s">
        <v>15457</v>
      </c>
      <c r="D3213" t="s">
        <v>2238</v>
      </c>
      <c r="E3213" t="s">
        <v>15452</v>
      </c>
      <c r="F3213">
        <v>2001</v>
      </c>
      <c r="G3213" t="s">
        <v>15458</v>
      </c>
      <c r="H3213" t="s">
        <v>15459</v>
      </c>
      <c r="I3213" t="s">
        <v>15460</v>
      </c>
      <c r="J3213" t="s">
        <v>26</v>
      </c>
      <c r="K3213" t="s">
        <v>86</v>
      </c>
      <c r="L3213" t="b">
        <v>1</v>
      </c>
      <c r="M3213" t="s">
        <v>15461</v>
      </c>
      <c r="N3213" t="str">
        <f>"005.8"</f>
        <v>005.8</v>
      </c>
      <c r="P3213" t="b">
        <v>0</v>
      </c>
      <c r="R3213" t="str">
        <f>"9780849308765"</f>
        <v>9780849308765</v>
      </c>
      <c r="S3213" t="str">
        <f>"9780203997499"</f>
        <v>9780203997499</v>
      </c>
      <c r="T3213">
        <v>60931461</v>
      </c>
    </row>
    <row r="3214" spans="1:20" x14ac:dyDescent="0.25">
      <c r="A3214">
        <v>135167</v>
      </c>
      <c r="B3214" t="s">
        <v>15462</v>
      </c>
      <c r="C3214" t="s">
        <v>15463</v>
      </c>
      <c r="D3214" t="s">
        <v>8514</v>
      </c>
      <c r="E3214" t="s">
        <v>8515</v>
      </c>
      <c r="F3214">
        <v>1998</v>
      </c>
      <c r="G3214" t="s">
        <v>12112</v>
      </c>
      <c r="H3214" t="s">
        <v>15464</v>
      </c>
      <c r="I3214" t="s">
        <v>15465</v>
      </c>
      <c r="J3214" t="s">
        <v>26</v>
      </c>
      <c r="K3214" t="s">
        <v>27</v>
      </c>
      <c r="L3214" t="b">
        <v>1</v>
      </c>
      <c r="M3214" t="s">
        <v>15466</v>
      </c>
      <c r="N3214" t="str">
        <f>"523.11"</f>
        <v>523.11</v>
      </c>
      <c r="P3214" t="b">
        <v>0</v>
      </c>
      <c r="Q3214" t="b">
        <v>0</v>
      </c>
      <c r="R3214" t="str">
        <f>"9780968368909"</f>
        <v>9780968368909</v>
      </c>
      <c r="S3214" t="str">
        <f>"9781423714804"</f>
        <v>9781423714804</v>
      </c>
      <c r="T3214">
        <v>60891283</v>
      </c>
    </row>
    <row r="3215" spans="1:20" x14ac:dyDescent="0.25">
      <c r="A3215">
        <v>135005</v>
      </c>
      <c r="B3215" t="s">
        <v>15467</v>
      </c>
      <c r="C3215" t="s">
        <v>15468</v>
      </c>
      <c r="D3215" t="s">
        <v>2238</v>
      </c>
      <c r="E3215" t="s">
        <v>2239</v>
      </c>
      <c r="F3215">
        <v>2002</v>
      </c>
      <c r="G3215" t="s">
        <v>1016</v>
      </c>
      <c r="H3215" t="s">
        <v>15469</v>
      </c>
      <c r="I3215" t="s">
        <v>15470</v>
      </c>
      <c r="J3215" t="s">
        <v>26</v>
      </c>
      <c r="K3215" t="s">
        <v>86</v>
      </c>
      <c r="L3215" t="b">
        <v>1</v>
      </c>
      <c r="M3215" t="s">
        <v>15471</v>
      </c>
      <c r="N3215" t="str">
        <f>"373.11020941"</f>
        <v>373.11020941</v>
      </c>
      <c r="O3215" t="s">
        <v>15472</v>
      </c>
      <c r="P3215" t="b">
        <v>0</v>
      </c>
      <c r="R3215" t="str">
        <f>"9780415260664"</f>
        <v>9780415260664</v>
      </c>
      <c r="S3215" t="str">
        <f>"9780203994184"</f>
        <v>9780203994184</v>
      </c>
      <c r="T3215">
        <v>252958737</v>
      </c>
    </row>
    <row r="3216" spans="1:20" x14ac:dyDescent="0.25">
      <c r="A3216">
        <v>134650</v>
      </c>
      <c r="B3216" t="s">
        <v>15473</v>
      </c>
      <c r="D3216" t="s">
        <v>8514</v>
      </c>
      <c r="E3216" t="s">
        <v>8515</v>
      </c>
      <c r="F3216">
        <v>1999</v>
      </c>
      <c r="G3216" t="s">
        <v>13336</v>
      </c>
      <c r="H3216" t="s">
        <v>15474</v>
      </c>
      <c r="I3216" t="s">
        <v>15475</v>
      </c>
      <c r="J3216" t="s">
        <v>26</v>
      </c>
      <c r="K3216" t="s">
        <v>27</v>
      </c>
      <c r="L3216" t="b">
        <v>1</v>
      </c>
      <c r="M3216" t="s">
        <v>11173</v>
      </c>
      <c r="N3216" t="str">
        <f>"531"</f>
        <v>531</v>
      </c>
      <c r="P3216" t="b">
        <v>0</v>
      </c>
      <c r="Q3216" t="b">
        <v>0</v>
      </c>
      <c r="R3216" t="str">
        <f>"9780968368923"</f>
        <v>9780968368923</v>
      </c>
      <c r="S3216" t="str">
        <f>"9781441662071"</f>
        <v>9781441662071</v>
      </c>
      <c r="T3216">
        <v>650604271</v>
      </c>
    </row>
    <row r="3217" spans="1:20" x14ac:dyDescent="0.25">
      <c r="A3217">
        <v>134643</v>
      </c>
      <c r="B3217" t="s">
        <v>15476</v>
      </c>
      <c r="C3217" t="s">
        <v>15477</v>
      </c>
      <c r="D3217" t="s">
        <v>8514</v>
      </c>
      <c r="E3217" t="s">
        <v>8515</v>
      </c>
      <c r="F3217">
        <v>2001</v>
      </c>
      <c r="G3217" t="s">
        <v>12102</v>
      </c>
      <c r="H3217" t="s">
        <v>15478</v>
      </c>
      <c r="I3217" t="s">
        <v>15479</v>
      </c>
      <c r="J3217" t="s">
        <v>26</v>
      </c>
      <c r="K3217" t="s">
        <v>27</v>
      </c>
      <c r="L3217" t="b">
        <v>1</v>
      </c>
      <c r="M3217" t="s">
        <v>15480</v>
      </c>
      <c r="N3217" t="str">
        <f>"530.11"</f>
        <v>530.11</v>
      </c>
      <c r="P3217" t="b">
        <v>0</v>
      </c>
      <c r="Q3217" t="b">
        <v>0</v>
      </c>
      <c r="R3217" t="str">
        <f>"9780968368961"</f>
        <v>9780968368961</v>
      </c>
      <c r="S3217" t="str">
        <f>"9781423711995"</f>
        <v>9781423711995</v>
      </c>
      <c r="T3217">
        <v>60803122</v>
      </c>
    </row>
    <row r="3218" spans="1:20" x14ac:dyDescent="0.25">
      <c r="A3218">
        <v>134356</v>
      </c>
      <c r="B3218" t="s">
        <v>15481</v>
      </c>
      <c r="D3218" t="s">
        <v>8514</v>
      </c>
      <c r="E3218" t="s">
        <v>8515</v>
      </c>
      <c r="F3218">
        <v>2003</v>
      </c>
      <c r="G3218" t="s">
        <v>12112</v>
      </c>
      <c r="H3218" t="s">
        <v>15482</v>
      </c>
      <c r="I3218" t="s">
        <v>15483</v>
      </c>
      <c r="J3218" t="s">
        <v>26</v>
      </c>
      <c r="K3218" t="s">
        <v>27</v>
      </c>
      <c r="L3218" t="b">
        <v>1</v>
      </c>
      <c r="M3218" t="s">
        <v>15466</v>
      </c>
      <c r="N3218" t="str">
        <f>"523.1/1"</f>
        <v>523.1/1</v>
      </c>
      <c r="P3218" t="b">
        <v>0</v>
      </c>
      <c r="R3218" t="str">
        <f>"9780968368992"</f>
        <v>9780968368992</v>
      </c>
      <c r="S3218" t="str">
        <f>"9781423716235"</f>
        <v>9781423716235</v>
      </c>
      <c r="T3218">
        <v>61151094</v>
      </c>
    </row>
    <row r="3219" spans="1:20" x14ac:dyDescent="0.25">
      <c r="A3219">
        <v>134355</v>
      </c>
      <c r="B3219" t="s">
        <v>15484</v>
      </c>
      <c r="D3219" t="s">
        <v>8514</v>
      </c>
      <c r="E3219" t="s">
        <v>8515</v>
      </c>
      <c r="F3219">
        <v>2000</v>
      </c>
      <c r="G3219" t="s">
        <v>4670</v>
      </c>
      <c r="H3219" t="s">
        <v>15485</v>
      </c>
      <c r="I3219" t="s">
        <v>15486</v>
      </c>
      <c r="J3219" t="s">
        <v>26</v>
      </c>
      <c r="K3219" t="s">
        <v>27</v>
      </c>
      <c r="L3219" t="b">
        <v>1</v>
      </c>
      <c r="M3219" t="s">
        <v>15487</v>
      </c>
      <c r="N3219" t="str">
        <f>"530.1"</f>
        <v>530.1</v>
      </c>
      <c r="P3219" t="b">
        <v>0</v>
      </c>
      <c r="Q3219" t="b">
        <v>0</v>
      </c>
      <c r="R3219" t="str">
        <f>"9780968368947"</f>
        <v>9780968368947</v>
      </c>
      <c r="S3219" t="str">
        <f>"9781423714811"</f>
        <v>9781423714811</v>
      </c>
      <c r="T3219">
        <v>60933466</v>
      </c>
    </row>
    <row r="3220" spans="1:20" x14ac:dyDescent="0.25">
      <c r="A3220">
        <v>134354</v>
      </c>
      <c r="B3220" t="s">
        <v>15488</v>
      </c>
      <c r="C3220" t="s">
        <v>15489</v>
      </c>
      <c r="D3220" t="s">
        <v>8514</v>
      </c>
      <c r="E3220" t="s">
        <v>8515</v>
      </c>
      <c r="F3220">
        <v>2002</v>
      </c>
      <c r="G3220" t="s">
        <v>11170</v>
      </c>
      <c r="H3220" t="s">
        <v>15490</v>
      </c>
      <c r="I3220" t="s">
        <v>15491</v>
      </c>
      <c r="J3220" t="s">
        <v>26</v>
      </c>
      <c r="K3220" t="s">
        <v>27</v>
      </c>
      <c r="L3220" t="b">
        <v>1</v>
      </c>
      <c r="M3220" t="s">
        <v>15492</v>
      </c>
      <c r="N3220" t="str">
        <f>"531.14"</f>
        <v>531.14</v>
      </c>
      <c r="P3220" t="b">
        <v>0</v>
      </c>
      <c r="Q3220" t="b">
        <v>0</v>
      </c>
      <c r="R3220" t="str">
        <f>"9780968368978"</f>
        <v>9780968368978</v>
      </c>
      <c r="S3220" t="str">
        <f>"9781423716242"</f>
        <v>9781423716242</v>
      </c>
      <c r="T3220">
        <v>61151058</v>
      </c>
    </row>
    <row r="3221" spans="1:20" x14ac:dyDescent="0.25">
      <c r="A3221">
        <v>134353</v>
      </c>
      <c r="B3221" t="s">
        <v>15493</v>
      </c>
      <c r="D3221" t="s">
        <v>8514</v>
      </c>
      <c r="E3221" t="s">
        <v>8515</v>
      </c>
      <c r="F3221">
        <v>2003</v>
      </c>
      <c r="G3221" t="s">
        <v>4670</v>
      </c>
      <c r="H3221" t="s">
        <v>15494</v>
      </c>
      <c r="I3221" t="s">
        <v>15495</v>
      </c>
      <c r="J3221" t="s">
        <v>26</v>
      </c>
      <c r="K3221" t="s">
        <v>27</v>
      </c>
      <c r="L3221" t="b">
        <v>1</v>
      </c>
      <c r="M3221" t="s">
        <v>15496</v>
      </c>
      <c r="N3221" t="str">
        <f>"530.1"</f>
        <v>530.1</v>
      </c>
      <c r="P3221" t="b">
        <v>0</v>
      </c>
      <c r="Q3221" t="b">
        <v>0</v>
      </c>
      <c r="R3221" t="str">
        <f>"9780973291100"</f>
        <v>9780973291100</v>
      </c>
      <c r="S3221" t="str">
        <f>"9781423710943"</f>
        <v>9781423710943</v>
      </c>
      <c r="T3221">
        <v>60746339</v>
      </c>
    </row>
    <row r="3222" spans="1:20" x14ac:dyDescent="0.25">
      <c r="A3222">
        <v>132848</v>
      </c>
      <c r="B3222" t="s">
        <v>15497</v>
      </c>
      <c r="D3222" t="s">
        <v>8514</v>
      </c>
      <c r="E3222" t="s">
        <v>8515</v>
      </c>
      <c r="F3222">
        <v>1998</v>
      </c>
      <c r="G3222" t="s">
        <v>12102</v>
      </c>
      <c r="H3222" t="s">
        <v>15498</v>
      </c>
      <c r="I3222" t="s">
        <v>15499</v>
      </c>
      <c r="J3222" t="s">
        <v>26</v>
      </c>
      <c r="K3222" t="s">
        <v>27</v>
      </c>
      <c r="L3222" t="b">
        <v>1</v>
      </c>
      <c r="M3222" t="s">
        <v>15500</v>
      </c>
      <c r="N3222" t="str">
        <f>"530.11"</f>
        <v>530.11</v>
      </c>
      <c r="P3222" t="b">
        <v>0</v>
      </c>
      <c r="Q3222" t="b">
        <v>0</v>
      </c>
      <c r="R3222" t="str">
        <f>"9780968368916"</f>
        <v>9780968368916</v>
      </c>
      <c r="S3222" t="str">
        <f>"9781423711131"</f>
        <v>9781423711131</v>
      </c>
      <c r="T3222">
        <v>60755841</v>
      </c>
    </row>
    <row r="3223" spans="1:20" x14ac:dyDescent="0.25">
      <c r="A3223">
        <v>132828</v>
      </c>
      <c r="B3223" t="s">
        <v>15501</v>
      </c>
      <c r="C3223" t="s">
        <v>15502</v>
      </c>
      <c r="D3223" t="s">
        <v>8514</v>
      </c>
      <c r="E3223" t="s">
        <v>8515</v>
      </c>
      <c r="F3223">
        <v>2003</v>
      </c>
      <c r="G3223" t="s">
        <v>12102</v>
      </c>
      <c r="H3223" t="s">
        <v>15503</v>
      </c>
      <c r="I3223" t="s">
        <v>15504</v>
      </c>
      <c r="J3223" t="s">
        <v>26</v>
      </c>
      <c r="K3223" t="s">
        <v>27</v>
      </c>
      <c r="L3223" t="b">
        <v>1</v>
      </c>
      <c r="M3223" t="s">
        <v>15505</v>
      </c>
      <c r="N3223" t="str">
        <f>"530.11"</f>
        <v>530.11</v>
      </c>
      <c r="P3223" t="b">
        <v>0</v>
      </c>
      <c r="Q3223" t="b">
        <v>0</v>
      </c>
      <c r="R3223" t="str">
        <f>"9780973291117"</f>
        <v>9780973291117</v>
      </c>
      <c r="S3223" t="str">
        <f>"9781417597871"</f>
        <v>9781417597871</v>
      </c>
      <c r="T3223">
        <v>60544030</v>
      </c>
    </row>
    <row r="3224" spans="1:20" x14ac:dyDescent="0.25">
      <c r="A3224">
        <v>132827</v>
      </c>
      <c r="B3224" t="s">
        <v>15506</v>
      </c>
      <c r="D3224" t="s">
        <v>8514</v>
      </c>
      <c r="E3224" t="s">
        <v>8514</v>
      </c>
      <c r="F3224">
        <v>2005</v>
      </c>
      <c r="G3224" t="s">
        <v>12442</v>
      </c>
      <c r="H3224" t="s">
        <v>15507</v>
      </c>
      <c r="I3224" t="s">
        <v>15508</v>
      </c>
      <c r="J3224" t="s">
        <v>26</v>
      </c>
      <c r="K3224" t="s">
        <v>27</v>
      </c>
      <c r="L3224" t="b">
        <v>1</v>
      </c>
      <c r="M3224" t="s">
        <v>15509</v>
      </c>
      <c r="N3224" t="str">
        <f>"539.7/2112"</f>
        <v>539.7/2112</v>
      </c>
      <c r="P3224" t="b">
        <v>0</v>
      </c>
      <c r="R3224" t="str">
        <f>"9780973291124"</f>
        <v>9780973291124</v>
      </c>
      <c r="S3224" t="str">
        <f>"9781417597888"</f>
        <v>9781417597888</v>
      </c>
      <c r="T3224">
        <v>60544024</v>
      </c>
    </row>
    <row r="3225" spans="1:20" x14ac:dyDescent="0.25">
      <c r="A3225">
        <v>132499</v>
      </c>
      <c r="B3225" t="s">
        <v>15510</v>
      </c>
      <c r="D3225" t="s">
        <v>12141</v>
      </c>
      <c r="E3225" t="s">
        <v>12141</v>
      </c>
      <c r="F3225">
        <v>2005</v>
      </c>
      <c r="G3225" t="s">
        <v>15511</v>
      </c>
      <c r="H3225" t="s">
        <v>15512</v>
      </c>
      <c r="I3225" t="s">
        <v>15513</v>
      </c>
      <c r="J3225" t="s">
        <v>26</v>
      </c>
      <c r="K3225" t="s">
        <v>27</v>
      </c>
      <c r="L3225" t="b">
        <v>1</v>
      </c>
      <c r="M3225" t="s">
        <v>15514</v>
      </c>
      <c r="N3225" t="str">
        <f>"610.22"</f>
        <v>610.22</v>
      </c>
      <c r="O3225" t="s">
        <v>12145</v>
      </c>
      <c r="P3225" t="b">
        <v>0</v>
      </c>
      <c r="R3225" t="str">
        <f>"9781585112289"</f>
        <v>9781585112289</v>
      </c>
      <c r="S3225" t="str">
        <f>"9781417597208"</f>
        <v>9781417597208</v>
      </c>
      <c r="T3225">
        <v>60491545</v>
      </c>
    </row>
    <row r="3226" spans="1:20" x14ac:dyDescent="0.25">
      <c r="A3226">
        <v>132495</v>
      </c>
      <c r="B3226" t="s">
        <v>15515</v>
      </c>
      <c r="C3226" t="s">
        <v>15516</v>
      </c>
      <c r="D3226" t="s">
        <v>12141</v>
      </c>
      <c r="E3226" t="s">
        <v>12141</v>
      </c>
      <c r="F3226">
        <v>2005</v>
      </c>
      <c r="G3226" t="s">
        <v>15517</v>
      </c>
      <c r="H3226" t="s">
        <v>15518</v>
      </c>
      <c r="I3226" t="s">
        <v>15519</v>
      </c>
      <c r="J3226" t="s">
        <v>26</v>
      </c>
      <c r="K3226" t="s">
        <v>27</v>
      </c>
      <c r="L3226" t="b">
        <v>1</v>
      </c>
      <c r="M3226" t="s">
        <v>15514</v>
      </c>
      <c r="N3226" t="str">
        <f>"646.72023"</f>
        <v>646.72023</v>
      </c>
      <c r="O3226" t="s">
        <v>12145</v>
      </c>
      <c r="P3226" t="b">
        <v>0</v>
      </c>
      <c r="R3226" t="str">
        <f>"9781585110544"</f>
        <v>9781585110544</v>
      </c>
      <c r="S3226" t="str">
        <f>"9781417597161"</f>
        <v>9781417597161</v>
      </c>
      <c r="T3226">
        <v>60491396</v>
      </c>
    </row>
    <row r="3227" spans="1:20" x14ac:dyDescent="0.25">
      <c r="A3227">
        <v>132494</v>
      </c>
      <c r="B3227" t="s">
        <v>15520</v>
      </c>
      <c r="D3227" t="s">
        <v>12141</v>
      </c>
      <c r="E3227" t="s">
        <v>12141</v>
      </c>
      <c r="F3227">
        <v>2005</v>
      </c>
      <c r="G3227" t="s">
        <v>9468</v>
      </c>
      <c r="H3227" t="s">
        <v>15521</v>
      </c>
      <c r="I3227" t="s">
        <v>15522</v>
      </c>
      <c r="J3227" t="s">
        <v>26</v>
      </c>
      <c r="K3227" t="s">
        <v>27</v>
      </c>
      <c r="L3227" t="b">
        <v>1</v>
      </c>
      <c r="M3227" t="s">
        <v>12144</v>
      </c>
      <c r="N3227" t="str">
        <f>"005.8023"</f>
        <v>005.8023</v>
      </c>
      <c r="O3227" t="s">
        <v>12145</v>
      </c>
      <c r="P3227" t="b">
        <v>0</v>
      </c>
      <c r="R3227" t="str">
        <f>"9781585113705"</f>
        <v>9781585113705</v>
      </c>
      <c r="S3227" t="str">
        <f>"9781417597154"</f>
        <v>9781417597154</v>
      </c>
      <c r="T3227">
        <v>60492787</v>
      </c>
    </row>
    <row r="3228" spans="1:20" x14ac:dyDescent="0.25">
      <c r="A3228">
        <v>132491</v>
      </c>
      <c r="B3228" t="s">
        <v>15523</v>
      </c>
      <c r="C3228" t="s">
        <v>15524</v>
      </c>
      <c r="D3228" t="s">
        <v>12141</v>
      </c>
      <c r="E3228" t="s">
        <v>12141</v>
      </c>
      <c r="F3228">
        <v>2005</v>
      </c>
      <c r="G3228" t="s">
        <v>6371</v>
      </c>
      <c r="H3228" t="s">
        <v>15525</v>
      </c>
      <c r="I3228" t="s">
        <v>15526</v>
      </c>
      <c r="J3228" t="s">
        <v>26</v>
      </c>
      <c r="K3228" t="s">
        <v>27</v>
      </c>
      <c r="L3228" t="b">
        <v>1</v>
      </c>
      <c r="M3228" t="s">
        <v>12144</v>
      </c>
      <c r="N3228" t="str">
        <f>"333.9516023"</f>
        <v>333.9516023</v>
      </c>
      <c r="O3228" t="s">
        <v>12145</v>
      </c>
      <c r="P3228" t="b">
        <v>0</v>
      </c>
      <c r="R3228" t="str">
        <f>"9781585113712"</f>
        <v>9781585113712</v>
      </c>
      <c r="S3228" t="str">
        <f>"9781417597123"</f>
        <v>9781417597123</v>
      </c>
      <c r="T3228">
        <v>60492754</v>
      </c>
    </row>
    <row r="3229" spans="1:20" x14ac:dyDescent="0.25">
      <c r="A3229">
        <v>132490</v>
      </c>
      <c r="B3229" t="s">
        <v>15527</v>
      </c>
      <c r="D3229" t="s">
        <v>12141</v>
      </c>
      <c r="E3229" t="s">
        <v>12141</v>
      </c>
      <c r="F3229">
        <v>2005</v>
      </c>
      <c r="G3229" t="s">
        <v>15528</v>
      </c>
      <c r="H3229" t="s">
        <v>15529</v>
      </c>
      <c r="I3229" t="s">
        <v>15530</v>
      </c>
      <c r="J3229" t="s">
        <v>26</v>
      </c>
      <c r="K3229" t="s">
        <v>27</v>
      </c>
      <c r="L3229" t="b">
        <v>1</v>
      </c>
      <c r="M3229" t="s">
        <v>12144</v>
      </c>
      <c r="N3229" t="str">
        <f>"610.7343023"</f>
        <v>610.7343023</v>
      </c>
      <c r="O3229" t="s">
        <v>12145</v>
      </c>
      <c r="P3229" t="b">
        <v>0</v>
      </c>
      <c r="R3229" t="str">
        <f>"9781585111879"</f>
        <v>9781585111879</v>
      </c>
      <c r="S3229" t="str">
        <f>"9781417597116"</f>
        <v>9781417597116</v>
      </c>
      <c r="T3229">
        <v>60492751</v>
      </c>
    </row>
    <row r="3230" spans="1:20" x14ac:dyDescent="0.25">
      <c r="A3230">
        <v>132486</v>
      </c>
      <c r="B3230" t="s">
        <v>15531</v>
      </c>
      <c r="C3230" t="s">
        <v>15532</v>
      </c>
      <c r="D3230" t="s">
        <v>12141</v>
      </c>
      <c r="E3230" t="s">
        <v>12141</v>
      </c>
      <c r="F3230">
        <v>2005</v>
      </c>
      <c r="G3230" t="s">
        <v>12897</v>
      </c>
      <c r="H3230" t="s">
        <v>15533</v>
      </c>
      <c r="I3230" t="s">
        <v>15534</v>
      </c>
      <c r="J3230" t="s">
        <v>26</v>
      </c>
      <c r="K3230" t="s">
        <v>27</v>
      </c>
      <c r="L3230" t="b">
        <v>1</v>
      </c>
      <c r="M3230" t="s">
        <v>12144</v>
      </c>
      <c r="N3230" t="str">
        <f>"646.34023"</f>
        <v>646.34023</v>
      </c>
      <c r="O3230" t="s">
        <v>12145</v>
      </c>
      <c r="P3230" t="b">
        <v>0</v>
      </c>
      <c r="R3230" t="str">
        <f>"9781585111176"</f>
        <v>9781585111176</v>
      </c>
      <c r="S3230" t="str">
        <f>"9781417597321"</f>
        <v>9781417597321</v>
      </c>
      <c r="T3230">
        <v>60492719</v>
      </c>
    </row>
    <row r="3231" spans="1:20" x14ac:dyDescent="0.25">
      <c r="A3231">
        <v>132484</v>
      </c>
      <c r="B3231" t="s">
        <v>15535</v>
      </c>
      <c r="D3231" t="s">
        <v>12141</v>
      </c>
      <c r="E3231" t="s">
        <v>12141</v>
      </c>
      <c r="F3231">
        <v>2005</v>
      </c>
      <c r="G3231" t="s">
        <v>14999</v>
      </c>
      <c r="H3231" t="s">
        <v>15301</v>
      </c>
      <c r="I3231" t="s">
        <v>15536</v>
      </c>
      <c r="J3231" t="s">
        <v>26</v>
      </c>
      <c r="K3231" t="s">
        <v>27</v>
      </c>
      <c r="L3231" t="b">
        <v>1</v>
      </c>
      <c r="M3231" t="s">
        <v>12144</v>
      </c>
      <c r="N3231" t="str">
        <f>"770.232"</f>
        <v>770.232</v>
      </c>
      <c r="O3231" t="s">
        <v>12145</v>
      </c>
      <c r="P3231" t="b">
        <v>0</v>
      </c>
      <c r="R3231" t="str">
        <f>"9781585112029"</f>
        <v>9781585112029</v>
      </c>
      <c r="S3231" t="str">
        <f>"9781417597307"</f>
        <v>9781417597307</v>
      </c>
      <c r="T3231">
        <v>60497073</v>
      </c>
    </row>
    <row r="3232" spans="1:20" x14ac:dyDescent="0.25">
      <c r="A3232">
        <v>131594</v>
      </c>
      <c r="B3232" t="s">
        <v>15537</v>
      </c>
      <c r="D3232" t="s">
        <v>2238</v>
      </c>
      <c r="E3232" t="s">
        <v>15538</v>
      </c>
      <c r="F3232">
        <v>2005</v>
      </c>
      <c r="G3232" t="s">
        <v>15539</v>
      </c>
      <c r="H3232" t="s">
        <v>15540</v>
      </c>
      <c r="I3232" t="s">
        <v>15541</v>
      </c>
      <c r="J3232" t="s">
        <v>26</v>
      </c>
      <c r="K3232" t="s">
        <v>27</v>
      </c>
      <c r="L3232" t="b">
        <v>1</v>
      </c>
      <c r="M3232" t="s">
        <v>15542</v>
      </c>
      <c r="N3232" t="str">
        <f>"152.4"</f>
        <v>152.4</v>
      </c>
      <c r="P3232" t="b">
        <v>0</v>
      </c>
      <c r="R3232" t="str">
        <f>"9780805844924"</f>
        <v>9780805844924</v>
      </c>
      <c r="S3232" t="str">
        <f>"9781410612823"</f>
        <v>9781410612823</v>
      </c>
      <c r="T3232">
        <v>60351069</v>
      </c>
    </row>
    <row r="3233" spans="1:20" x14ac:dyDescent="0.25">
      <c r="A3233">
        <v>130820</v>
      </c>
      <c r="B3233" t="s">
        <v>15543</v>
      </c>
      <c r="D3233" t="s">
        <v>6269</v>
      </c>
      <c r="E3233" t="s">
        <v>14381</v>
      </c>
      <c r="F3233">
        <v>2004</v>
      </c>
      <c r="G3233" t="s">
        <v>4688</v>
      </c>
      <c r="H3233" t="s">
        <v>15544</v>
      </c>
      <c r="I3233" t="s">
        <v>15545</v>
      </c>
      <c r="J3233" t="s">
        <v>26</v>
      </c>
      <c r="K3233" t="s">
        <v>27</v>
      </c>
      <c r="L3233" t="b">
        <v>1</v>
      </c>
      <c r="M3233" t="s">
        <v>15546</v>
      </c>
      <c r="N3233" t="str">
        <f>"572.86"</f>
        <v>572.86</v>
      </c>
      <c r="P3233" t="b">
        <v>0</v>
      </c>
      <c r="R3233" t="str">
        <f>"9781590475072"</f>
        <v>9781590475072</v>
      </c>
      <c r="S3233" t="str">
        <f>"9781590477762"</f>
        <v>9781590477762</v>
      </c>
      <c r="T3233">
        <v>60494390</v>
      </c>
    </row>
    <row r="3234" spans="1:20" x14ac:dyDescent="0.25">
      <c r="A3234">
        <v>130198</v>
      </c>
      <c r="B3234" t="s">
        <v>15547</v>
      </c>
      <c r="C3234" t="s">
        <v>15548</v>
      </c>
      <c r="D3234" t="s">
        <v>255</v>
      </c>
      <c r="E3234" t="s">
        <v>256</v>
      </c>
      <c r="F3234">
        <v>2003</v>
      </c>
      <c r="G3234" t="s">
        <v>804</v>
      </c>
      <c r="H3234" t="s">
        <v>15549</v>
      </c>
      <c r="I3234" t="s">
        <v>15550</v>
      </c>
      <c r="J3234" t="s">
        <v>26</v>
      </c>
      <c r="K3234" t="s">
        <v>27</v>
      </c>
      <c r="L3234" t="b">
        <v>1</v>
      </c>
      <c r="M3234" t="s">
        <v>5972</v>
      </c>
      <c r="N3234" t="str">
        <f>"306.4/613"</f>
        <v>306.4/613</v>
      </c>
      <c r="P3234" t="b">
        <v>0</v>
      </c>
      <c r="S3234" t="str">
        <f>"9781775585817"</f>
        <v>9781775585817</v>
      </c>
      <c r="T3234">
        <v>60349447</v>
      </c>
    </row>
    <row r="3235" spans="1:20" x14ac:dyDescent="0.25">
      <c r="A3235">
        <v>130197</v>
      </c>
      <c r="B3235" t="s">
        <v>15551</v>
      </c>
      <c r="C3235" t="s">
        <v>15552</v>
      </c>
      <c r="D3235" t="s">
        <v>255</v>
      </c>
      <c r="E3235" t="s">
        <v>255</v>
      </c>
      <c r="F3235">
        <v>2004</v>
      </c>
      <c r="G3235" t="s">
        <v>6747</v>
      </c>
      <c r="H3235" t="s">
        <v>15553</v>
      </c>
      <c r="I3235" t="s">
        <v>15554</v>
      </c>
      <c r="J3235" t="s">
        <v>26</v>
      </c>
      <c r="K3235" t="s">
        <v>86</v>
      </c>
      <c r="L3235" t="b">
        <v>1</v>
      </c>
      <c r="M3235" t="s">
        <v>15555</v>
      </c>
      <c r="N3235" t="str">
        <f>"344.9301"</f>
        <v>344.9301</v>
      </c>
      <c r="P3235" t="b">
        <v>0</v>
      </c>
      <c r="S3235" t="str">
        <f>"9781775580614"</f>
        <v>9781775580614</v>
      </c>
      <c r="T3235">
        <v>60353412</v>
      </c>
    </row>
    <row r="3236" spans="1:20" x14ac:dyDescent="0.25">
      <c r="A3236">
        <v>129888</v>
      </c>
      <c r="B3236" t="s">
        <v>15556</v>
      </c>
      <c r="C3236" t="s">
        <v>15557</v>
      </c>
      <c r="D3236" t="s">
        <v>7757</v>
      </c>
      <c r="E3236" t="s">
        <v>7757</v>
      </c>
      <c r="F3236">
        <v>2004</v>
      </c>
      <c r="G3236" t="s">
        <v>7758</v>
      </c>
      <c r="H3236" t="s">
        <v>15558</v>
      </c>
      <c r="I3236" t="s">
        <v>15559</v>
      </c>
      <c r="J3236" t="s">
        <v>26</v>
      </c>
      <c r="K3236" t="s">
        <v>86</v>
      </c>
      <c r="L3236" t="b">
        <v>1</v>
      </c>
      <c r="M3236" t="s">
        <v>15560</v>
      </c>
      <c r="N3236" t="str">
        <f>"331.702/087/5"</f>
        <v>331.702/087/5</v>
      </c>
      <c r="P3236" t="b">
        <v>0</v>
      </c>
      <c r="R3236" t="str">
        <f>"9781843107668"</f>
        <v>9781843107668</v>
      </c>
      <c r="S3236" t="str">
        <f>"9781846420153"</f>
        <v>9781846420153</v>
      </c>
      <c r="T3236">
        <v>60715196</v>
      </c>
    </row>
    <row r="3237" spans="1:20" x14ac:dyDescent="0.25">
      <c r="A3237">
        <v>129784</v>
      </c>
      <c r="B3237" t="s">
        <v>15561</v>
      </c>
      <c r="D3237" t="s">
        <v>5828</v>
      </c>
      <c r="E3237" t="s">
        <v>12469</v>
      </c>
      <c r="F3237">
        <v>2001</v>
      </c>
      <c r="G3237" t="s">
        <v>856</v>
      </c>
      <c r="H3237" t="s">
        <v>15562</v>
      </c>
      <c r="I3237" t="s">
        <v>15563</v>
      </c>
      <c r="J3237" t="s">
        <v>26</v>
      </c>
      <c r="K3237" t="s">
        <v>27</v>
      </c>
      <c r="L3237" t="b">
        <v>1</v>
      </c>
      <c r="M3237" t="s">
        <v>15564</v>
      </c>
      <c r="N3237" t="str">
        <f>"320.011"</f>
        <v>320.011</v>
      </c>
      <c r="P3237" t="b">
        <v>0</v>
      </c>
      <c r="S3237" t="str">
        <f>"9780195303216"</f>
        <v>9780195303216</v>
      </c>
      <c r="T3237">
        <v>59280696</v>
      </c>
    </row>
    <row r="3238" spans="1:20" x14ac:dyDescent="0.25">
      <c r="A3238">
        <v>129778</v>
      </c>
      <c r="B3238" t="s">
        <v>15565</v>
      </c>
      <c r="C3238" t="s">
        <v>15566</v>
      </c>
      <c r="D3238" t="s">
        <v>5828</v>
      </c>
      <c r="E3238" t="s">
        <v>12469</v>
      </c>
      <c r="F3238">
        <v>2001</v>
      </c>
      <c r="G3238" t="s">
        <v>15567</v>
      </c>
      <c r="H3238" t="s">
        <v>15568</v>
      </c>
      <c r="I3238" t="s">
        <v>15569</v>
      </c>
      <c r="J3238" t="s">
        <v>26</v>
      </c>
      <c r="K3238" t="s">
        <v>27</v>
      </c>
      <c r="L3238" t="b">
        <v>1</v>
      </c>
      <c r="M3238" t="s">
        <v>15570</v>
      </c>
      <c r="N3238" t="str">
        <f>"720/.92;B"</f>
        <v>720/.92;B</v>
      </c>
      <c r="P3238" t="b">
        <v>0</v>
      </c>
      <c r="R3238" t="str">
        <f>"9780195149890"</f>
        <v>9780195149890</v>
      </c>
      <c r="S3238" t="str">
        <f>"9780195348750"</f>
        <v>9780195348750</v>
      </c>
      <c r="T3238">
        <v>60548610</v>
      </c>
    </row>
    <row r="3239" spans="1:20" x14ac:dyDescent="0.25">
      <c r="A3239">
        <v>121383</v>
      </c>
      <c r="B3239" t="s">
        <v>15571</v>
      </c>
      <c r="C3239" t="s">
        <v>15572</v>
      </c>
      <c r="D3239" t="s">
        <v>15573</v>
      </c>
      <c r="E3239" t="s">
        <v>15573</v>
      </c>
      <c r="F3239">
        <v>1990</v>
      </c>
      <c r="G3239" t="s">
        <v>15574</v>
      </c>
      <c r="H3239" t="s">
        <v>15575</v>
      </c>
      <c r="I3239" t="s">
        <v>15576</v>
      </c>
      <c r="J3239" t="s">
        <v>26</v>
      </c>
      <c r="K3239" t="s">
        <v>27</v>
      </c>
      <c r="L3239" t="b">
        <v>1</v>
      </c>
      <c r="M3239" t="s">
        <v>15577</v>
      </c>
      <c r="N3239" t="str">
        <f>"551.2/2/0973"</f>
        <v>551.2/2/0973</v>
      </c>
      <c r="P3239" t="b">
        <v>0</v>
      </c>
      <c r="R3239" t="str">
        <f>"9780309042918"</f>
        <v>9780309042918</v>
      </c>
      <c r="S3239" t="str">
        <f>"9780309564243"</f>
        <v>9780309564243</v>
      </c>
      <c r="T3239">
        <v>57012202</v>
      </c>
    </row>
    <row r="3240" spans="1:20" x14ac:dyDescent="0.25">
      <c r="A3240">
        <v>119524</v>
      </c>
      <c r="B3240" t="s">
        <v>15578</v>
      </c>
      <c r="D3240" t="s">
        <v>6269</v>
      </c>
      <c r="E3240" t="s">
        <v>14381</v>
      </c>
      <c r="F3240">
        <v>2000</v>
      </c>
      <c r="G3240" t="s">
        <v>10488</v>
      </c>
      <c r="H3240" t="s">
        <v>15579</v>
      </c>
      <c r="I3240" t="s">
        <v>15580</v>
      </c>
      <c r="J3240" t="s">
        <v>26</v>
      </c>
      <c r="K3240" t="s">
        <v>27</v>
      </c>
      <c r="L3240" t="b">
        <v>1</v>
      </c>
      <c r="M3240" t="s">
        <v>15581</v>
      </c>
      <c r="N3240" t="str">
        <f>"519.5/35/0285"</f>
        <v>519.5/35/0285</v>
      </c>
      <c r="P3240" t="b">
        <v>0</v>
      </c>
      <c r="R3240" t="str">
        <f>"9781580256964"</f>
        <v>9781580256964</v>
      </c>
      <c r="S3240" t="str">
        <f>"9781590476383"</f>
        <v>9781590476383</v>
      </c>
      <c r="T3240">
        <v>57437079</v>
      </c>
    </row>
    <row r="3241" spans="1:20" x14ac:dyDescent="0.25">
      <c r="A3241">
        <v>119523</v>
      </c>
      <c r="B3241" t="s">
        <v>15582</v>
      </c>
      <c r="D3241" t="s">
        <v>6269</v>
      </c>
      <c r="E3241" t="s">
        <v>14381</v>
      </c>
      <c r="F3241">
        <v>1999</v>
      </c>
      <c r="G3241" t="s">
        <v>10488</v>
      </c>
      <c r="H3241" t="s">
        <v>15583</v>
      </c>
      <c r="I3241" t="s">
        <v>15584</v>
      </c>
      <c r="J3241" t="s">
        <v>26</v>
      </c>
      <c r="K3241" t="s">
        <v>27</v>
      </c>
      <c r="L3241" t="b">
        <v>1</v>
      </c>
      <c r="M3241" t="s">
        <v>15581</v>
      </c>
      <c r="N3241" t="str">
        <f>"519.535028553"</f>
        <v>519.535028553</v>
      </c>
      <c r="P3241" t="b">
        <v>0</v>
      </c>
      <c r="R3241" t="str">
        <f>"9781580253574"</f>
        <v>9781580253574</v>
      </c>
      <c r="S3241" t="str">
        <f>"9781590476390"</f>
        <v>9781590476390</v>
      </c>
      <c r="T3241">
        <v>57437078</v>
      </c>
    </row>
    <row r="3242" spans="1:20" x14ac:dyDescent="0.25">
      <c r="A3242">
        <v>118049</v>
      </c>
      <c r="B3242" t="s">
        <v>15585</v>
      </c>
      <c r="C3242" t="s">
        <v>15586</v>
      </c>
      <c r="D3242" t="s">
        <v>14219</v>
      </c>
      <c r="E3242" t="s">
        <v>14219</v>
      </c>
      <c r="F3242">
        <v>2001</v>
      </c>
      <c r="G3242" t="s">
        <v>7329</v>
      </c>
      <c r="H3242" t="s">
        <v>15587</v>
      </c>
      <c r="I3242" t="s">
        <v>15588</v>
      </c>
      <c r="J3242" t="s">
        <v>26</v>
      </c>
      <c r="K3242" t="s">
        <v>27</v>
      </c>
      <c r="L3242" t="b">
        <v>1</v>
      </c>
      <c r="M3242" t="s">
        <v>15589</v>
      </c>
      <c r="N3242" t="str">
        <f>"338.926"</f>
        <v>338.926</v>
      </c>
      <c r="P3242" t="b">
        <v>0</v>
      </c>
      <c r="R3242" t="str">
        <f>"9789211125399"</f>
        <v>9789211125399</v>
      </c>
      <c r="S3242" t="str">
        <f>"9781417558070"</f>
        <v>9781417558070</v>
      </c>
      <c r="T3242">
        <v>57065711</v>
      </c>
    </row>
    <row r="3243" spans="1:20" x14ac:dyDescent="0.25">
      <c r="A3243">
        <v>118044</v>
      </c>
      <c r="B3243" t="s">
        <v>15590</v>
      </c>
      <c r="D3243" t="s">
        <v>14219</v>
      </c>
      <c r="E3243" t="s">
        <v>14219</v>
      </c>
      <c r="F3243">
        <v>2001</v>
      </c>
      <c r="G3243" t="s">
        <v>3726</v>
      </c>
      <c r="H3243" t="s">
        <v>15591</v>
      </c>
      <c r="I3243" t="s">
        <v>15592</v>
      </c>
      <c r="J3243" t="s">
        <v>26</v>
      </c>
      <c r="K3243" t="s">
        <v>27</v>
      </c>
      <c r="L3243" t="b">
        <v>1</v>
      </c>
      <c r="M3243" t="s">
        <v>15593</v>
      </c>
      <c r="N3243" t="str">
        <f>"553.6095"</f>
        <v>553.6095</v>
      </c>
      <c r="O3243" t="s">
        <v>15594</v>
      </c>
      <c r="P3243" t="b">
        <v>0</v>
      </c>
      <c r="R3243" t="str">
        <f>"9789211200430"</f>
        <v>9789211200430</v>
      </c>
      <c r="S3243" t="str">
        <f>"9781417558063"</f>
        <v>9781417558063</v>
      </c>
      <c r="T3243">
        <v>57065710</v>
      </c>
    </row>
    <row r="3244" spans="1:20" x14ac:dyDescent="0.25">
      <c r="A3244">
        <v>118027</v>
      </c>
      <c r="B3244" t="s">
        <v>15595</v>
      </c>
      <c r="D3244" t="s">
        <v>14219</v>
      </c>
      <c r="E3244" t="s">
        <v>14219</v>
      </c>
      <c r="F3244">
        <v>2002</v>
      </c>
      <c r="G3244" t="s">
        <v>9412</v>
      </c>
      <c r="H3244" t="s">
        <v>15596</v>
      </c>
      <c r="I3244" t="s">
        <v>15597</v>
      </c>
      <c r="J3244" t="s">
        <v>26</v>
      </c>
      <c r="K3244" t="s">
        <v>27</v>
      </c>
      <c r="L3244" t="b">
        <v>1</v>
      </c>
      <c r="M3244" t="s">
        <v>15598</v>
      </c>
      <c r="N3244" t="str">
        <f>"363.7288"</f>
        <v>363.7288</v>
      </c>
      <c r="P3244" t="b">
        <v>0</v>
      </c>
      <c r="R3244" t="str">
        <f>"9789211167894"</f>
        <v>9789211167894</v>
      </c>
      <c r="S3244" t="str">
        <f>"9781417548767"</f>
        <v>9781417548767</v>
      </c>
      <c r="T3244">
        <v>56815536</v>
      </c>
    </row>
    <row r="3245" spans="1:20" x14ac:dyDescent="0.25">
      <c r="A3245">
        <v>117368</v>
      </c>
      <c r="B3245" t="s">
        <v>15599</v>
      </c>
      <c r="D3245" t="s">
        <v>6269</v>
      </c>
      <c r="E3245" t="s">
        <v>14381</v>
      </c>
      <c r="F3245">
        <v>2003</v>
      </c>
      <c r="G3245" t="s">
        <v>8706</v>
      </c>
      <c r="H3245" t="s">
        <v>15600</v>
      </c>
      <c r="I3245" t="s">
        <v>15601</v>
      </c>
      <c r="J3245" t="s">
        <v>26</v>
      </c>
      <c r="K3245" t="s">
        <v>27</v>
      </c>
      <c r="L3245" t="b">
        <v>1</v>
      </c>
      <c r="M3245" t="s">
        <v>15602</v>
      </c>
      <c r="N3245" t="str">
        <f>"610/.7/27"</f>
        <v>610/.7/27</v>
      </c>
      <c r="P3245" t="b">
        <v>0</v>
      </c>
      <c r="R3245" t="str">
        <f>"9781590471357"</f>
        <v>9781590471357</v>
      </c>
      <c r="S3245" t="str">
        <f>"9781590476239"</f>
        <v>9781590476239</v>
      </c>
      <c r="T3245">
        <v>56747439</v>
      </c>
    </row>
    <row r="3246" spans="1:20" x14ac:dyDescent="0.25">
      <c r="A3246">
        <v>117367</v>
      </c>
      <c r="B3246" t="s">
        <v>15603</v>
      </c>
      <c r="D3246" t="s">
        <v>6269</v>
      </c>
      <c r="E3246" t="s">
        <v>14381</v>
      </c>
      <c r="F3246">
        <v>2003</v>
      </c>
      <c r="G3246" t="s">
        <v>535</v>
      </c>
      <c r="H3246" t="s">
        <v>15604</v>
      </c>
      <c r="I3246" t="s">
        <v>15605</v>
      </c>
      <c r="J3246" t="s">
        <v>26</v>
      </c>
      <c r="K3246" t="s">
        <v>27</v>
      </c>
      <c r="L3246" t="b">
        <v>1</v>
      </c>
      <c r="M3246" t="s">
        <v>15606</v>
      </c>
      <c r="N3246" t="str">
        <f>"519.5"</f>
        <v>519.5</v>
      </c>
      <c r="P3246" t="b">
        <v>0</v>
      </c>
      <c r="R3246" t="str">
        <f>"9781590471494"</f>
        <v>9781590471494</v>
      </c>
      <c r="S3246" t="str">
        <f>"9781590476222"</f>
        <v>9781590476222</v>
      </c>
      <c r="T3246">
        <v>56747431</v>
      </c>
    </row>
    <row r="3247" spans="1:20" x14ac:dyDescent="0.25">
      <c r="A3247">
        <v>117366</v>
      </c>
      <c r="B3247" t="s">
        <v>15603</v>
      </c>
      <c r="D3247" t="s">
        <v>6269</v>
      </c>
      <c r="E3247" t="s">
        <v>14381</v>
      </c>
      <c r="F3247">
        <v>2003</v>
      </c>
      <c r="G3247" t="s">
        <v>535</v>
      </c>
      <c r="H3247" t="s">
        <v>15604</v>
      </c>
      <c r="I3247" t="s">
        <v>15605</v>
      </c>
      <c r="J3247" t="s">
        <v>26</v>
      </c>
      <c r="K3247" t="s">
        <v>27</v>
      </c>
      <c r="L3247" t="b">
        <v>1</v>
      </c>
      <c r="M3247" t="s">
        <v>15606</v>
      </c>
      <c r="N3247" t="str">
        <f>"519.5"</f>
        <v>519.5</v>
      </c>
      <c r="P3247" t="b">
        <v>0</v>
      </c>
      <c r="R3247" t="str">
        <f>"9781590471487"</f>
        <v>9781590471487</v>
      </c>
      <c r="S3247" t="str">
        <f>"9781590476215"</f>
        <v>9781590476215</v>
      </c>
      <c r="T3247">
        <v>56747419</v>
      </c>
    </row>
    <row r="3248" spans="1:20" x14ac:dyDescent="0.25">
      <c r="A3248">
        <v>116697</v>
      </c>
      <c r="B3248" t="s">
        <v>15607</v>
      </c>
      <c r="C3248" t="s">
        <v>15608</v>
      </c>
      <c r="D3248" t="s">
        <v>2238</v>
      </c>
      <c r="E3248" t="s">
        <v>2239</v>
      </c>
      <c r="F3248">
        <v>2005</v>
      </c>
      <c r="G3248" t="s">
        <v>15609</v>
      </c>
      <c r="H3248" t="s">
        <v>15610</v>
      </c>
      <c r="I3248" t="s">
        <v>15611</v>
      </c>
      <c r="J3248" t="s">
        <v>26</v>
      </c>
      <c r="K3248" t="s">
        <v>86</v>
      </c>
      <c r="L3248" t="b">
        <v>1</v>
      </c>
      <c r="M3248" t="s">
        <v>15612</v>
      </c>
      <c r="N3248" t="str">
        <f>"158/.3"</f>
        <v>158/.3</v>
      </c>
      <c r="P3248" t="b">
        <v>0</v>
      </c>
      <c r="R3248" t="str">
        <f>"9780203691410"</f>
        <v>9780203691410</v>
      </c>
      <c r="S3248" t="str">
        <f>"9780203646984"</f>
        <v>9780203646984</v>
      </c>
      <c r="T3248">
        <v>57493377</v>
      </c>
    </row>
    <row r="3249" spans="1:20" x14ac:dyDescent="0.25">
      <c r="A3249">
        <v>116685</v>
      </c>
      <c r="B3249" t="s">
        <v>15613</v>
      </c>
      <c r="D3249" t="s">
        <v>2238</v>
      </c>
      <c r="E3249" t="s">
        <v>15538</v>
      </c>
      <c r="F3249">
        <v>2005</v>
      </c>
      <c r="G3249" t="s">
        <v>2145</v>
      </c>
      <c r="H3249" t="s">
        <v>15614</v>
      </c>
      <c r="I3249" t="s">
        <v>15615</v>
      </c>
      <c r="J3249" t="s">
        <v>26</v>
      </c>
      <c r="K3249" t="s">
        <v>86</v>
      </c>
      <c r="L3249" t="b">
        <v>1</v>
      </c>
      <c r="M3249" t="s">
        <v>15616</v>
      </c>
      <c r="N3249" t="str">
        <f>"305.8"</f>
        <v>305.8</v>
      </c>
      <c r="O3249" t="s">
        <v>15617</v>
      </c>
      <c r="P3249" t="b">
        <v>0</v>
      </c>
      <c r="R3249" t="str">
        <f>"9781841695327"</f>
        <v>9781841695327</v>
      </c>
      <c r="S3249" t="str">
        <f>"9780203338704"</f>
        <v>9780203338704</v>
      </c>
      <c r="T3249">
        <v>57239519</v>
      </c>
    </row>
    <row r="3250" spans="1:20" x14ac:dyDescent="0.25">
      <c r="A3250">
        <v>115903</v>
      </c>
      <c r="B3250" t="s">
        <v>15618</v>
      </c>
      <c r="D3250" t="s">
        <v>2238</v>
      </c>
      <c r="E3250" t="s">
        <v>2239</v>
      </c>
      <c r="F3250">
        <v>2004</v>
      </c>
      <c r="G3250" t="s">
        <v>172</v>
      </c>
      <c r="H3250" t="s">
        <v>15619</v>
      </c>
      <c r="I3250" t="s">
        <v>15620</v>
      </c>
      <c r="J3250" t="s">
        <v>26</v>
      </c>
      <c r="K3250" t="s">
        <v>27</v>
      </c>
      <c r="L3250" t="b">
        <v>1</v>
      </c>
      <c r="M3250" t="s">
        <v>15621</v>
      </c>
      <c r="N3250" t="str">
        <f>"337"</f>
        <v>337</v>
      </c>
      <c r="P3250" t="b">
        <v>0</v>
      </c>
      <c r="R3250" t="str">
        <f>"9780203349380"</f>
        <v>9780203349380</v>
      </c>
      <c r="S3250" t="str">
        <f>"9780203462041"</f>
        <v>9780203462041</v>
      </c>
      <c r="T3250">
        <v>57049174</v>
      </c>
    </row>
    <row r="3251" spans="1:20" x14ac:dyDescent="0.25">
      <c r="A3251">
        <v>115714</v>
      </c>
      <c r="B3251" t="s">
        <v>15622</v>
      </c>
      <c r="C3251" t="s">
        <v>15623</v>
      </c>
      <c r="D3251" t="s">
        <v>2238</v>
      </c>
      <c r="E3251" t="s">
        <v>2239</v>
      </c>
      <c r="F3251">
        <v>2004</v>
      </c>
      <c r="G3251" t="s">
        <v>15624</v>
      </c>
      <c r="H3251" t="s">
        <v>15625</v>
      </c>
      <c r="I3251" t="s">
        <v>15626</v>
      </c>
      <c r="J3251" t="s">
        <v>26</v>
      </c>
      <c r="K3251" t="s">
        <v>86</v>
      </c>
      <c r="L3251" t="b">
        <v>1</v>
      </c>
      <c r="M3251" t="s">
        <v>15627</v>
      </c>
      <c r="N3251" t="str">
        <f>"791.45/6"</f>
        <v>791.45/6</v>
      </c>
      <c r="P3251" t="b">
        <v>0</v>
      </c>
      <c r="R3251" t="str">
        <f>"9780415969031"</f>
        <v>9780415969031</v>
      </c>
      <c r="S3251" t="str">
        <f>"9781135458768"</f>
        <v>9781135458768</v>
      </c>
      <c r="T3251">
        <v>61342610</v>
      </c>
    </row>
    <row r="3252" spans="1:20" x14ac:dyDescent="0.25">
      <c r="A3252">
        <v>113642</v>
      </c>
      <c r="B3252" t="s">
        <v>15628</v>
      </c>
      <c r="C3252" t="s">
        <v>15629</v>
      </c>
      <c r="D3252" t="s">
        <v>10802</v>
      </c>
      <c r="E3252" t="s">
        <v>10803</v>
      </c>
      <c r="F3252">
        <v>2004</v>
      </c>
      <c r="G3252" t="s">
        <v>14653</v>
      </c>
      <c r="H3252" t="s">
        <v>15630</v>
      </c>
      <c r="I3252" t="s">
        <v>15631</v>
      </c>
      <c r="J3252" t="s">
        <v>26</v>
      </c>
      <c r="K3252" t="s">
        <v>27</v>
      </c>
      <c r="L3252" t="b">
        <v>0</v>
      </c>
      <c r="M3252" t="s">
        <v>15632</v>
      </c>
      <c r="N3252" t="str">
        <f>"650.14"</f>
        <v>650.14</v>
      </c>
      <c r="P3252" t="b">
        <v>0</v>
      </c>
      <c r="R3252" t="str">
        <f>"9781564147400"</f>
        <v>9781564147400</v>
      </c>
      <c r="S3252" t="str">
        <f>"9781417525812"</f>
        <v>9781417525812</v>
      </c>
      <c r="T3252">
        <v>56824800</v>
      </c>
    </row>
    <row r="3253" spans="1:20" x14ac:dyDescent="0.25">
      <c r="A3253">
        <v>112228</v>
      </c>
      <c r="B3253" t="s">
        <v>15633</v>
      </c>
      <c r="C3253" t="s">
        <v>15634</v>
      </c>
      <c r="D3253" t="s">
        <v>1151</v>
      </c>
      <c r="E3253" t="s">
        <v>234</v>
      </c>
      <c r="F3253">
        <v>2004</v>
      </c>
      <c r="G3253" t="s">
        <v>5884</v>
      </c>
      <c r="H3253" t="s">
        <v>15635</v>
      </c>
      <c r="I3253" t="s">
        <v>15636</v>
      </c>
      <c r="J3253" t="s">
        <v>26</v>
      </c>
      <c r="K3253" t="s">
        <v>27</v>
      </c>
      <c r="L3253" t="b">
        <v>1</v>
      </c>
      <c r="M3253" t="s">
        <v>15637</v>
      </c>
      <c r="N3253" t="str">
        <f>"614.5/21/0113"</f>
        <v>614.5/21/0113</v>
      </c>
      <c r="P3253" t="b">
        <v>0</v>
      </c>
      <c r="Q3253" t="b">
        <v>0</v>
      </c>
      <c r="R3253" t="str">
        <f>"9780815724551"</f>
        <v>9780815724551</v>
      </c>
      <c r="S3253" t="str">
        <f>"9780815796459"</f>
        <v>9780815796459</v>
      </c>
      <c r="T3253">
        <v>55942465</v>
      </c>
    </row>
    <row r="3254" spans="1:20" x14ac:dyDescent="0.25">
      <c r="A3254">
        <v>111417</v>
      </c>
      <c r="B3254" t="s">
        <v>15638</v>
      </c>
      <c r="C3254" t="s">
        <v>15639</v>
      </c>
      <c r="D3254" t="s">
        <v>2238</v>
      </c>
      <c r="E3254" t="s">
        <v>2239</v>
      </c>
      <c r="F3254">
        <v>2005</v>
      </c>
      <c r="G3254" t="s">
        <v>558</v>
      </c>
      <c r="H3254" t="s">
        <v>15640</v>
      </c>
      <c r="I3254" t="s">
        <v>15641</v>
      </c>
      <c r="J3254" t="s">
        <v>26</v>
      </c>
      <c r="K3254" t="s">
        <v>86</v>
      </c>
      <c r="L3254" t="b">
        <v>1</v>
      </c>
      <c r="M3254" t="s">
        <v>15642</v>
      </c>
      <c r="N3254" t="str">
        <f>"355/.033056"</f>
        <v>355/.033056</v>
      </c>
      <c r="O3254" t="s">
        <v>15643</v>
      </c>
      <c r="P3254" t="b">
        <v>0</v>
      </c>
      <c r="R3254" t="str">
        <f>"9780203684368"</f>
        <v>9780203684368</v>
      </c>
      <c r="S3254" t="str">
        <f>"9781134342419"</f>
        <v>9781134342419</v>
      </c>
      <c r="T3254">
        <v>57175193</v>
      </c>
    </row>
    <row r="3255" spans="1:20" x14ac:dyDescent="0.25">
      <c r="A3255">
        <v>110449</v>
      </c>
      <c r="B3255" t="s">
        <v>15644</v>
      </c>
      <c r="D3255" t="s">
        <v>2238</v>
      </c>
      <c r="E3255" t="s">
        <v>2239</v>
      </c>
      <c r="F3255">
        <v>2005</v>
      </c>
      <c r="G3255" t="s">
        <v>15260</v>
      </c>
      <c r="H3255" t="s">
        <v>15645</v>
      </c>
      <c r="I3255" t="s">
        <v>15646</v>
      </c>
      <c r="J3255" t="s">
        <v>26</v>
      </c>
      <c r="K3255" t="s">
        <v>86</v>
      </c>
      <c r="L3255" t="b">
        <v>1</v>
      </c>
      <c r="M3255" t="s">
        <v>15647</v>
      </c>
      <c r="N3255" t="str">
        <f>"780/.72"</f>
        <v>780/.72</v>
      </c>
      <c r="O3255" t="s">
        <v>15648</v>
      </c>
      <c r="P3255" t="b">
        <v>0</v>
      </c>
      <c r="R3255" t="str">
        <f>"9780415316934"</f>
        <v>9780415316934</v>
      </c>
      <c r="S3255" t="str">
        <f>"9781134372799"</f>
        <v>9781134372799</v>
      </c>
      <c r="T3255">
        <v>61354797</v>
      </c>
    </row>
    <row r="3256" spans="1:20" x14ac:dyDescent="0.25">
      <c r="A3256">
        <v>108418</v>
      </c>
      <c r="B3256" t="s">
        <v>15649</v>
      </c>
      <c r="C3256" t="s">
        <v>15650</v>
      </c>
      <c r="D3256" t="s">
        <v>7324</v>
      </c>
      <c r="E3256" t="s">
        <v>7324</v>
      </c>
      <c r="F3256">
        <v>2003</v>
      </c>
      <c r="H3256" t="s">
        <v>15651</v>
      </c>
      <c r="I3256" t="s">
        <v>15652</v>
      </c>
      <c r="J3256" t="s">
        <v>26</v>
      </c>
      <c r="K3256" t="s">
        <v>86</v>
      </c>
      <c r="L3256" t="b">
        <v>1</v>
      </c>
      <c r="M3256" t="s">
        <v>15653</v>
      </c>
      <c r="N3256" t="str">
        <f>"306/.1"</f>
        <v>306/.1</v>
      </c>
      <c r="O3256" t="s">
        <v>15654</v>
      </c>
      <c r="P3256" t="b">
        <v>0</v>
      </c>
      <c r="R3256" t="str">
        <f>"9780520238053"</f>
        <v>9780520238053</v>
      </c>
      <c r="S3256" t="str">
        <f>"9780520939721"</f>
        <v>9780520939721</v>
      </c>
      <c r="T3256">
        <v>55497497</v>
      </c>
    </row>
    <row r="3257" spans="1:20" x14ac:dyDescent="0.25">
      <c r="A3257">
        <v>108374</v>
      </c>
      <c r="B3257" t="s">
        <v>15655</v>
      </c>
      <c r="C3257" t="s">
        <v>15656</v>
      </c>
      <c r="D3257" t="s">
        <v>6269</v>
      </c>
      <c r="E3257" t="s">
        <v>6269</v>
      </c>
      <c r="F3257">
        <v>2002</v>
      </c>
      <c r="G3257" t="s">
        <v>11558</v>
      </c>
      <c r="H3257" t="s">
        <v>15657</v>
      </c>
      <c r="I3257" t="s">
        <v>15658</v>
      </c>
      <c r="J3257" t="s">
        <v>26</v>
      </c>
      <c r="K3257" t="s">
        <v>27</v>
      </c>
      <c r="L3257" t="b">
        <v>1</v>
      </c>
      <c r="M3257" t="s">
        <v>15659</v>
      </c>
      <c r="N3257" t="str">
        <f>"518/.282"</f>
        <v>518/.282</v>
      </c>
      <c r="P3257" t="b">
        <v>0</v>
      </c>
      <c r="Q3257" t="b">
        <v>0</v>
      </c>
      <c r="R3257" t="str">
        <f>"9781590471418"</f>
        <v>9781590471418</v>
      </c>
      <c r="S3257" t="str">
        <f>"9781423714606"</f>
        <v>9781423714606</v>
      </c>
      <c r="T3257">
        <v>60855804</v>
      </c>
    </row>
    <row r="3258" spans="1:20" x14ac:dyDescent="0.25">
      <c r="A3258">
        <v>107437</v>
      </c>
      <c r="B3258" t="s">
        <v>15660</v>
      </c>
      <c r="C3258" t="s">
        <v>15661</v>
      </c>
      <c r="D3258" t="s">
        <v>6269</v>
      </c>
      <c r="E3258" t="s">
        <v>6269</v>
      </c>
      <c r="F3258">
        <v>2001</v>
      </c>
      <c r="G3258" t="s">
        <v>535</v>
      </c>
      <c r="H3258" t="s">
        <v>15662</v>
      </c>
      <c r="I3258" t="s">
        <v>15663</v>
      </c>
      <c r="J3258" t="s">
        <v>26</v>
      </c>
      <c r="K3258" t="s">
        <v>27</v>
      </c>
      <c r="L3258" t="b">
        <v>1</v>
      </c>
      <c r="M3258" t="s">
        <v>15664</v>
      </c>
      <c r="N3258" t="str">
        <f>"005.3"</f>
        <v>005.3</v>
      </c>
      <c r="P3258" t="b">
        <v>0</v>
      </c>
      <c r="R3258" t="str">
        <f>"9781580259248"</f>
        <v>9781580259248</v>
      </c>
      <c r="S3258" t="str">
        <f>"9781590474297"</f>
        <v>9781590474297</v>
      </c>
      <c r="T3258">
        <v>57587648</v>
      </c>
    </row>
    <row r="3259" spans="1:20" x14ac:dyDescent="0.25">
      <c r="A3259">
        <v>107027</v>
      </c>
      <c r="B3259" t="s">
        <v>15665</v>
      </c>
      <c r="D3259" t="s">
        <v>10161</v>
      </c>
      <c r="E3259" t="s">
        <v>10161</v>
      </c>
      <c r="F3259">
        <v>2003</v>
      </c>
      <c r="G3259" t="s">
        <v>9242</v>
      </c>
      <c r="H3259" t="s">
        <v>15666</v>
      </c>
      <c r="I3259" t="s">
        <v>15667</v>
      </c>
      <c r="J3259" t="s">
        <v>503</v>
      </c>
      <c r="K3259" t="s">
        <v>27</v>
      </c>
      <c r="L3259" t="b">
        <v>1</v>
      </c>
      <c r="M3259" t="s">
        <v>15668</v>
      </c>
      <c r="N3259" t="str">
        <f>"614.4/26"</f>
        <v>614.4/26</v>
      </c>
      <c r="O3259" t="s">
        <v>15665</v>
      </c>
      <c r="P3259" t="b">
        <v>0</v>
      </c>
      <c r="R3259" t="str">
        <f>"9780889369924"</f>
        <v>9780889369924</v>
      </c>
      <c r="S3259" t="str">
        <f>"9781552501061"</f>
        <v>9781552501061</v>
      </c>
      <c r="T3259">
        <v>166409255</v>
      </c>
    </row>
    <row r="3260" spans="1:20" x14ac:dyDescent="0.25">
      <c r="A3260">
        <v>107012</v>
      </c>
      <c r="B3260" t="s">
        <v>15669</v>
      </c>
      <c r="C3260" t="s">
        <v>15670</v>
      </c>
      <c r="D3260" t="s">
        <v>15671</v>
      </c>
      <c r="E3260" t="s">
        <v>15672</v>
      </c>
      <c r="F3260">
        <v>2004</v>
      </c>
      <c r="G3260" t="s">
        <v>303</v>
      </c>
      <c r="H3260" t="s">
        <v>15673</v>
      </c>
      <c r="I3260" t="s">
        <v>15674</v>
      </c>
      <c r="J3260" t="s">
        <v>26</v>
      </c>
      <c r="K3260" t="s">
        <v>27</v>
      </c>
      <c r="L3260" t="b">
        <v>1</v>
      </c>
      <c r="M3260" t="s">
        <v>15675</v>
      </c>
      <c r="N3260" t="str">
        <f>"666"</f>
        <v>666</v>
      </c>
      <c r="O3260" t="s">
        <v>15676</v>
      </c>
      <c r="P3260" t="b">
        <v>0</v>
      </c>
      <c r="R3260" t="str">
        <f>"9781574982039"</f>
        <v>9781574982039</v>
      </c>
      <c r="S3260" t="str">
        <f>"9781417501564"</f>
        <v>9781417501564</v>
      </c>
      <c r="T3260">
        <v>54894229</v>
      </c>
    </row>
    <row r="3261" spans="1:20" x14ac:dyDescent="0.25">
      <c r="A3261">
        <v>105776</v>
      </c>
      <c r="B3261" t="s">
        <v>15677</v>
      </c>
      <c r="D3261" t="s">
        <v>10161</v>
      </c>
      <c r="E3261" t="s">
        <v>10161</v>
      </c>
      <c r="F3261">
        <v>2003</v>
      </c>
      <c r="G3261" t="s">
        <v>8311</v>
      </c>
      <c r="H3261" t="s">
        <v>15678</v>
      </c>
      <c r="I3261" t="s">
        <v>15679</v>
      </c>
      <c r="J3261" t="s">
        <v>26</v>
      </c>
      <c r="K3261" t="s">
        <v>27</v>
      </c>
      <c r="L3261" t="b">
        <v>1</v>
      </c>
      <c r="M3261" t="s">
        <v>15680</v>
      </c>
      <c r="N3261" t="str">
        <f>"362.1072"</f>
        <v>362.1072</v>
      </c>
      <c r="O3261" t="s">
        <v>15677</v>
      </c>
      <c r="P3261" t="b">
        <v>0</v>
      </c>
      <c r="R3261" t="str">
        <f>"9789068321487"</f>
        <v>9789068321487</v>
      </c>
      <c r="S3261" t="str">
        <f>"9781552500699"</f>
        <v>9781552500699</v>
      </c>
      <c r="T3261">
        <v>54886254</v>
      </c>
    </row>
    <row r="3262" spans="1:20" x14ac:dyDescent="0.25">
      <c r="A3262">
        <v>105216</v>
      </c>
      <c r="B3262" t="s">
        <v>15681</v>
      </c>
      <c r="D3262" t="s">
        <v>10161</v>
      </c>
      <c r="E3262" t="s">
        <v>10161</v>
      </c>
      <c r="F3262">
        <v>2003</v>
      </c>
      <c r="G3262" t="s">
        <v>4304</v>
      </c>
      <c r="H3262" t="s">
        <v>15682</v>
      </c>
      <c r="I3262" t="s">
        <v>15683</v>
      </c>
      <c r="J3262" t="s">
        <v>26</v>
      </c>
      <c r="K3262" t="s">
        <v>27</v>
      </c>
      <c r="L3262" t="b">
        <v>1</v>
      </c>
      <c r="M3262" t="s">
        <v>15684</v>
      </c>
      <c r="N3262" t="str">
        <f>"362.1/0727"</f>
        <v>362.1/0727</v>
      </c>
      <c r="O3262" t="s">
        <v>15681</v>
      </c>
      <c r="P3262" t="b">
        <v>0</v>
      </c>
      <c r="R3262" t="str">
        <f>"9789068321500"</f>
        <v>9789068321500</v>
      </c>
      <c r="S3262" t="str">
        <f>"9781552500705"</f>
        <v>9781552500705</v>
      </c>
      <c r="T3262">
        <v>54494237</v>
      </c>
    </row>
    <row r="3263" spans="1:20" x14ac:dyDescent="0.25">
      <c r="A3263">
        <v>104091</v>
      </c>
      <c r="B3263" t="s">
        <v>15685</v>
      </c>
      <c r="C3263" t="s">
        <v>15686</v>
      </c>
      <c r="D3263" t="s">
        <v>7590</v>
      </c>
      <c r="E3263" t="s">
        <v>7591</v>
      </c>
      <c r="F3263">
        <v>2001</v>
      </c>
      <c r="G3263" t="s">
        <v>8643</v>
      </c>
      <c r="H3263" t="s">
        <v>15687</v>
      </c>
      <c r="I3263" t="s">
        <v>15688</v>
      </c>
      <c r="J3263" t="s">
        <v>26</v>
      </c>
      <c r="K3263" t="s">
        <v>27</v>
      </c>
      <c r="L3263" t="b">
        <v>1</v>
      </c>
      <c r="M3263" t="s">
        <v>15689</v>
      </c>
      <c r="N3263" t="str">
        <f>"005.75/8"</f>
        <v>005.75/8</v>
      </c>
      <c r="P3263" t="b">
        <v>0</v>
      </c>
      <c r="R3263" t="str">
        <f>"9781573871044"</f>
        <v>9781573871044</v>
      </c>
      <c r="S3263" t="str">
        <f>"9781573879750"</f>
        <v>9781573879750</v>
      </c>
      <c r="T3263">
        <v>54860837</v>
      </c>
    </row>
    <row r="3264" spans="1:20" x14ac:dyDescent="0.25">
      <c r="A3264">
        <v>103016</v>
      </c>
      <c r="B3264" t="s">
        <v>15690</v>
      </c>
      <c r="C3264" t="s">
        <v>15691</v>
      </c>
      <c r="D3264" t="s">
        <v>2238</v>
      </c>
      <c r="E3264" t="s">
        <v>2239</v>
      </c>
      <c r="F3264">
        <v>2004</v>
      </c>
      <c r="G3264" t="s">
        <v>1016</v>
      </c>
      <c r="H3264" t="s">
        <v>15692</v>
      </c>
      <c r="I3264" t="s">
        <v>15693</v>
      </c>
      <c r="J3264" t="s">
        <v>26</v>
      </c>
      <c r="K3264" t="s">
        <v>86</v>
      </c>
      <c r="L3264" t="b">
        <v>1</v>
      </c>
      <c r="M3264" t="s">
        <v>15694</v>
      </c>
      <c r="N3264" t="str">
        <f>"378.1/795"</f>
        <v>378.1/795</v>
      </c>
      <c r="O3264" t="s">
        <v>15695</v>
      </c>
      <c r="P3264" t="b">
        <v>0</v>
      </c>
      <c r="R3264" t="str">
        <f>"9780203475898"</f>
        <v>9780203475898</v>
      </c>
      <c r="S3264" t="str">
        <f>"9780203465066"</f>
        <v>9780203465066</v>
      </c>
      <c r="T3264">
        <v>56332395</v>
      </c>
    </row>
    <row r="3265" spans="1:20" x14ac:dyDescent="0.25">
      <c r="A3265">
        <v>102036</v>
      </c>
      <c r="B3265" t="s">
        <v>15696</v>
      </c>
      <c r="D3265" t="s">
        <v>15671</v>
      </c>
      <c r="E3265" t="s">
        <v>15672</v>
      </c>
      <c r="F3265">
        <v>2002</v>
      </c>
      <c r="G3265" t="s">
        <v>9543</v>
      </c>
      <c r="H3265" t="s">
        <v>15697</v>
      </c>
      <c r="I3265" t="s">
        <v>11790</v>
      </c>
      <c r="J3265" t="s">
        <v>26</v>
      </c>
      <c r="K3265" t="s">
        <v>27</v>
      </c>
      <c r="L3265" t="b">
        <v>1</v>
      </c>
      <c r="M3265" t="s">
        <v>15698</v>
      </c>
      <c r="N3265" t="str">
        <f>"620.5"</f>
        <v>620.5</v>
      </c>
      <c r="P3265" t="b">
        <v>0</v>
      </c>
      <c r="R3265" t="str">
        <f>"9781574981681"</f>
        <v>9781574981681</v>
      </c>
      <c r="S3265" t="str">
        <f>"9780585499734"</f>
        <v>9780585499734</v>
      </c>
      <c r="T3265">
        <v>54911439</v>
      </c>
    </row>
    <row r="3266" spans="1:20" x14ac:dyDescent="0.25">
      <c r="A3266">
        <v>102029</v>
      </c>
      <c r="B3266" t="s">
        <v>15699</v>
      </c>
      <c r="C3266" t="s">
        <v>15700</v>
      </c>
      <c r="D3266" t="s">
        <v>15671</v>
      </c>
      <c r="E3266" t="s">
        <v>15672</v>
      </c>
      <c r="F3266">
        <v>2003</v>
      </c>
      <c r="G3266" t="s">
        <v>9593</v>
      </c>
      <c r="H3266" t="s">
        <v>15701</v>
      </c>
      <c r="I3266" t="s">
        <v>15702</v>
      </c>
      <c r="J3266" t="s">
        <v>26</v>
      </c>
      <c r="K3266" t="s">
        <v>27</v>
      </c>
      <c r="L3266" t="b">
        <v>1</v>
      </c>
      <c r="M3266" t="s">
        <v>15703</v>
      </c>
      <c r="N3266" t="str">
        <f>"537.534"</f>
        <v>537.534</v>
      </c>
      <c r="P3266" t="b">
        <v>0</v>
      </c>
      <c r="R3266" t="str">
        <f>"9781574981582"</f>
        <v>9781574981582</v>
      </c>
      <c r="S3266" t="str">
        <f>"9780585499727"</f>
        <v>9780585499727</v>
      </c>
      <c r="T3266">
        <v>54910983</v>
      </c>
    </row>
    <row r="3267" spans="1:20" x14ac:dyDescent="0.25">
      <c r="A3267">
        <v>101602</v>
      </c>
      <c r="B3267" t="s">
        <v>15704</v>
      </c>
      <c r="C3267" t="s">
        <v>15705</v>
      </c>
      <c r="D3267" t="s">
        <v>5501</v>
      </c>
      <c r="E3267" t="s">
        <v>5502</v>
      </c>
      <c r="F3267">
        <v>2004</v>
      </c>
      <c r="G3267" t="s">
        <v>4558</v>
      </c>
      <c r="H3267" t="s">
        <v>15706</v>
      </c>
      <c r="I3267" t="s">
        <v>15707</v>
      </c>
      <c r="J3267" t="s">
        <v>26</v>
      </c>
      <c r="K3267" t="s">
        <v>86</v>
      </c>
      <c r="L3267" t="b">
        <v>1</v>
      </c>
      <c r="M3267" t="s">
        <v>15708</v>
      </c>
      <c r="N3267" t="str">
        <f>"302.4"</f>
        <v>302.4</v>
      </c>
      <c r="O3267" t="s">
        <v>15709</v>
      </c>
      <c r="P3267" t="b">
        <v>0</v>
      </c>
      <c r="R3267" t="str">
        <f>"9780742516793"</f>
        <v>9780742516793</v>
      </c>
      <c r="S3267" t="str">
        <f>"9780585482750"</f>
        <v>9780585482750</v>
      </c>
      <c r="T3267">
        <v>53965443</v>
      </c>
    </row>
    <row r="3268" spans="1:20" x14ac:dyDescent="0.25">
      <c r="A3268">
        <v>98046</v>
      </c>
      <c r="B3268" t="s">
        <v>15710</v>
      </c>
      <c r="C3268" t="s">
        <v>15711</v>
      </c>
      <c r="D3268" t="s">
        <v>2238</v>
      </c>
      <c r="E3268" t="s">
        <v>2239</v>
      </c>
      <c r="F3268">
        <v>1994</v>
      </c>
      <c r="G3268" t="s">
        <v>2145</v>
      </c>
      <c r="H3268" t="s">
        <v>15712</v>
      </c>
      <c r="I3268" t="s">
        <v>15713</v>
      </c>
      <c r="J3268" t="s">
        <v>26</v>
      </c>
      <c r="K3268" t="s">
        <v>86</v>
      </c>
      <c r="L3268" t="b">
        <v>1</v>
      </c>
      <c r="M3268" t="s">
        <v>15714</v>
      </c>
      <c r="N3268" t="str">
        <f>"361.3/01/9"</f>
        <v>361.3/01/9</v>
      </c>
      <c r="P3268" t="b">
        <v>0</v>
      </c>
      <c r="R3268" t="str">
        <f>"9780203376621"</f>
        <v>9780203376621</v>
      </c>
      <c r="S3268" t="str">
        <f>"9780203359860"</f>
        <v>9780203359860</v>
      </c>
      <c r="T3268">
        <v>53720243</v>
      </c>
    </row>
    <row r="3269" spans="1:20" x14ac:dyDescent="0.25">
      <c r="A3269">
        <v>98031</v>
      </c>
      <c r="B3269" t="s">
        <v>15715</v>
      </c>
      <c r="C3269" t="s">
        <v>15716</v>
      </c>
      <c r="D3269" t="s">
        <v>2238</v>
      </c>
      <c r="E3269" t="s">
        <v>2239</v>
      </c>
      <c r="F3269">
        <v>2003</v>
      </c>
      <c r="G3269" t="s">
        <v>182</v>
      </c>
      <c r="H3269" t="s">
        <v>15717</v>
      </c>
      <c r="J3269" t="s">
        <v>26</v>
      </c>
      <c r="K3269" t="s">
        <v>86</v>
      </c>
      <c r="L3269" t="b">
        <v>1</v>
      </c>
      <c r="M3269" t="s">
        <v>15718</v>
      </c>
      <c r="N3269" t="str">
        <f>"951.05"</f>
        <v>951.05</v>
      </c>
      <c r="O3269" t="s">
        <v>15719</v>
      </c>
      <c r="P3269" t="b">
        <v>0</v>
      </c>
      <c r="R3269" t="str">
        <f>"9780415195034"</f>
        <v>9780415195034</v>
      </c>
      <c r="S3269" t="str">
        <f>"9780203455531"</f>
        <v>9780203455531</v>
      </c>
      <c r="T3269">
        <v>53179126</v>
      </c>
    </row>
    <row r="3270" spans="1:20" x14ac:dyDescent="0.25">
      <c r="A3270">
        <v>96603</v>
      </c>
      <c r="B3270" t="s">
        <v>15720</v>
      </c>
      <c r="D3270" t="s">
        <v>15024</v>
      </c>
      <c r="E3270" t="s">
        <v>15025</v>
      </c>
      <c r="F3270">
        <v>2003</v>
      </c>
      <c r="G3270" t="s">
        <v>8580</v>
      </c>
      <c r="H3270" t="s">
        <v>15721</v>
      </c>
      <c r="I3270" t="s">
        <v>15722</v>
      </c>
      <c r="J3270" t="s">
        <v>26</v>
      </c>
      <c r="K3270" t="s">
        <v>27</v>
      </c>
      <c r="L3270" t="b">
        <v>1</v>
      </c>
      <c r="M3270" t="s">
        <v>15723</v>
      </c>
      <c r="N3270" t="str">
        <f>"615.8/36"</f>
        <v>615.8/36</v>
      </c>
      <c r="P3270" t="b">
        <v>0</v>
      </c>
      <c r="R3270" t="str">
        <f>"9780748409600"</f>
        <v>9780748409600</v>
      </c>
      <c r="S3270" t="str">
        <f>"9780203209592"</f>
        <v>9780203209592</v>
      </c>
      <c r="T3270">
        <v>53179486</v>
      </c>
    </row>
    <row r="3271" spans="1:20" x14ac:dyDescent="0.25">
      <c r="A3271">
        <v>96511</v>
      </c>
      <c r="B3271" t="s">
        <v>15724</v>
      </c>
      <c r="C3271" t="s">
        <v>15725</v>
      </c>
      <c r="D3271" t="s">
        <v>15024</v>
      </c>
      <c r="E3271" t="s">
        <v>15025</v>
      </c>
      <c r="F3271">
        <v>2000</v>
      </c>
      <c r="G3271" t="s">
        <v>15726</v>
      </c>
      <c r="H3271" t="s">
        <v>15727</v>
      </c>
      <c r="I3271" t="s">
        <v>15728</v>
      </c>
      <c r="J3271" t="s">
        <v>26</v>
      </c>
      <c r="K3271" t="s">
        <v>27</v>
      </c>
      <c r="L3271" t="b">
        <v>1</v>
      </c>
      <c r="M3271" t="s">
        <v>15729</v>
      </c>
      <c r="N3271" t="str">
        <f>"551.46"</f>
        <v>551.46</v>
      </c>
      <c r="O3271" t="s">
        <v>15730</v>
      </c>
      <c r="P3271" t="b">
        <v>0</v>
      </c>
      <c r="R3271" t="str">
        <f>"9780415238427"</f>
        <v>9780415238427</v>
      </c>
      <c r="S3271" t="str">
        <f>"9780203180525"</f>
        <v>9780203180525</v>
      </c>
      <c r="T3271">
        <v>228040546</v>
      </c>
    </row>
    <row r="3272" spans="1:20" x14ac:dyDescent="0.25">
      <c r="A3272">
        <v>96496</v>
      </c>
      <c r="B3272" t="s">
        <v>15731</v>
      </c>
      <c r="C3272" t="s">
        <v>15732</v>
      </c>
      <c r="D3272" t="s">
        <v>15024</v>
      </c>
      <c r="E3272" t="s">
        <v>15025</v>
      </c>
      <c r="F3272">
        <v>2003</v>
      </c>
      <c r="G3272" t="s">
        <v>11242</v>
      </c>
      <c r="H3272" t="s">
        <v>15733</v>
      </c>
      <c r="I3272" t="s">
        <v>15734</v>
      </c>
      <c r="J3272" t="s">
        <v>26</v>
      </c>
      <c r="K3272" t="s">
        <v>27</v>
      </c>
      <c r="L3272" t="b">
        <v>1</v>
      </c>
      <c r="M3272" t="s">
        <v>15735</v>
      </c>
      <c r="N3272" t="str">
        <f>"363.115"</f>
        <v>363.115</v>
      </c>
      <c r="P3272" t="b">
        <v>0</v>
      </c>
      <c r="R3272" t="str">
        <f>"9780748406463"</f>
        <v>9780748406463</v>
      </c>
      <c r="S3272" t="str">
        <f>"9780203212493"</f>
        <v>9780203212493</v>
      </c>
      <c r="T3272">
        <v>53180730</v>
      </c>
    </row>
    <row r="3273" spans="1:20" x14ac:dyDescent="0.25">
      <c r="A3273">
        <v>96165</v>
      </c>
      <c r="B3273" t="s">
        <v>15736</v>
      </c>
      <c r="D3273" t="s">
        <v>15024</v>
      </c>
      <c r="E3273" t="s">
        <v>15025</v>
      </c>
      <c r="F3273">
        <v>1999</v>
      </c>
      <c r="G3273" t="s">
        <v>1054</v>
      </c>
      <c r="H3273" t="s">
        <v>15737</v>
      </c>
      <c r="I3273" t="s">
        <v>15738</v>
      </c>
      <c r="J3273" t="s">
        <v>26</v>
      </c>
      <c r="K3273" t="s">
        <v>27</v>
      </c>
      <c r="L3273" t="b">
        <v>1</v>
      </c>
      <c r="M3273" t="s">
        <v>15739</v>
      </c>
      <c r="N3273" t="str">
        <f>"611.0187"</f>
        <v>611.0187</v>
      </c>
      <c r="O3273" t="s">
        <v>15740</v>
      </c>
      <c r="P3273" t="b">
        <v>0</v>
      </c>
      <c r="R3273" t="str">
        <f>"9789057024474"</f>
        <v>9789057024474</v>
      </c>
      <c r="S3273" t="str">
        <f>"9780203303849"</f>
        <v>9780203303849</v>
      </c>
      <c r="T3273">
        <v>53840778</v>
      </c>
    </row>
    <row r="3274" spans="1:20" x14ac:dyDescent="0.25">
      <c r="A3274">
        <v>96098</v>
      </c>
      <c r="B3274" t="s">
        <v>15741</v>
      </c>
      <c r="D3274" t="s">
        <v>15024</v>
      </c>
      <c r="E3274" t="s">
        <v>15025</v>
      </c>
      <c r="F3274">
        <v>2003</v>
      </c>
      <c r="G3274" t="s">
        <v>15742</v>
      </c>
      <c r="H3274" t="s">
        <v>15743</v>
      </c>
      <c r="I3274" t="s">
        <v>15744</v>
      </c>
      <c r="J3274" t="s">
        <v>26</v>
      </c>
      <c r="K3274" t="s">
        <v>27</v>
      </c>
      <c r="L3274" t="b">
        <v>1</v>
      </c>
      <c r="M3274" t="s">
        <v>15745</v>
      </c>
      <c r="N3274" t="str">
        <f>"666/.893"</f>
        <v>666/.893</v>
      </c>
      <c r="P3274" t="b">
        <v>0</v>
      </c>
      <c r="R3274" t="str">
        <f>"9780415515450"</f>
        <v>9780415515450</v>
      </c>
      <c r="S3274" t="str">
        <f>"9780203487754"</f>
        <v>9780203487754</v>
      </c>
      <c r="T3274">
        <v>53309297</v>
      </c>
    </row>
    <row r="3275" spans="1:20" x14ac:dyDescent="0.25">
      <c r="A3275">
        <v>96024</v>
      </c>
      <c r="B3275" t="s">
        <v>15746</v>
      </c>
      <c r="C3275" t="s">
        <v>15747</v>
      </c>
      <c r="D3275" t="s">
        <v>15024</v>
      </c>
      <c r="E3275" t="s">
        <v>15025</v>
      </c>
      <c r="F3275">
        <v>2001</v>
      </c>
      <c r="G3275" t="s">
        <v>4617</v>
      </c>
      <c r="H3275" t="s">
        <v>15748</v>
      </c>
      <c r="I3275" t="s">
        <v>15749</v>
      </c>
      <c r="J3275" t="s">
        <v>26</v>
      </c>
      <c r="K3275" t="s">
        <v>27</v>
      </c>
      <c r="L3275" t="b">
        <v>1</v>
      </c>
      <c r="M3275" t="s">
        <v>15750</v>
      </c>
      <c r="N3275" t="str">
        <f>"551.136"</f>
        <v>551.136</v>
      </c>
      <c r="P3275" t="b">
        <v>0</v>
      </c>
      <c r="R3275" t="str">
        <f>"9780415238991"</f>
        <v>9780415238991</v>
      </c>
      <c r="S3275" t="str">
        <f>"9780203165454"</f>
        <v>9780203165454</v>
      </c>
      <c r="T3275">
        <v>232160891</v>
      </c>
    </row>
    <row r="3276" spans="1:20" x14ac:dyDescent="0.25">
      <c r="A3276">
        <v>95291</v>
      </c>
      <c r="B3276" t="s">
        <v>15751</v>
      </c>
      <c r="C3276" t="s">
        <v>15752</v>
      </c>
      <c r="D3276" t="s">
        <v>15024</v>
      </c>
      <c r="E3276" t="s">
        <v>15025</v>
      </c>
      <c r="F3276">
        <v>2003</v>
      </c>
      <c r="G3276" t="s">
        <v>11242</v>
      </c>
      <c r="H3276" t="s">
        <v>15753</v>
      </c>
      <c r="I3276" t="s">
        <v>15754</v>
      </c>
      <c r="J3276" t="s">
        <v>26</v>
      </c>
      <c r="K3276" t="s">
        <v>27</v>
      </c>
      <c r="L3276" t="b">
        <v>1</v>
      </c>
      <c r="M3276" t="s">
        <v>15755</v>
      </c>
      <c r="N3276" t="str">
        <f>"658.3/14"</f>
        <v>658.3/14</v>
      </c>
      <c r="P3276" t="b">
        <v>0</v>
      </c>
      <c r="R3276" t="str">
        <f>"9780748408399"</f>
        <v>9780748408399</v>
      </c>
      <c r="S3276" t="str">
        <f>"9780203305645"</f>
        <v>9780203305645</v>
      </c>
      <c r="T3276">
        <v>53371788</v>
      </c>
    </row>
    <row r="3277" spans="1:20" x14ac:dyDescent="0.25">
      <c r="A3277">
        <v>94558</v>
      </c>
      <c r="B3277" t="s">
        <v>15756</v>
      </c>
      <c r="C3277" t="s">
        <v>15757</v>
      </c>
      <c r="D3277" t="s">
        <v>2238</v>
      </c>
      <c r="E3277" t="s">
        <v>15758</v>
      </c>
      <c r="F3277">
        <v>2003</v>
      </c>
      <c r="G3277" t="s">
        <v>13665</v>
      </c>
      <c r="H3277" t="s">
        <v>15759</v>
      </c>
      <c r="I3277" t="s">
        <v>15760</v>
      </c>
      <c r="J3277" t="s">
        <v>26</v>
      </c>
      <c r="K3277" t="s">
        <v>27</v>
      </c>
      <c r="L3277" t="b">
        <v>1</v>
      </c>
      <c r="M3277" t="s">
        <v>15761</v>
      </c>
      <c r="N3277" t="str">
        <f>"338.962"</f>
        <v>338.962</v>
      </c>
      <c r="O3277" t="s">
        <v>15643</v>
      </c>
      <c r="P3277" t="b">
        <v>0</v>
      </c>
      <c r="R3277" t="str">
        <f>"9780203355329"</f>
        <v>9780203355329</v>
      </c>
      <c r="S3277" t="str">
        <f>"9780203710531"</f>
        <v>9780203710531</v>
      </c>
      <c r="T3277">
        <v>53161460</v>
      </c>
    </row>
    <row r="3278" spans="1:20" x14ac:dyDescent="0.25">
      <c r="A3278">
        <v>94290</v>
      </c>
      <c r="B3278" t="s">
        <v>15762</v>
      </c>
      <c r="D3278" t="s">
        <v>15024</v>
      </c>
      <c r="E3278" t="s">
        <v>15025</v>
      </c>
      <c r="F3278">
        <v>2003</v>
      </c>
      <c r="G3278" t="s">
        <v>15742</v>
      </c>
      <c r="H3278" t="s">
        <v>15763</v>
      </c>
      <c r="I3278" t="s">
        <v>15764</v>
      </c>
      <c r="J3278" t="s">
        <v>26</v>
      </c>
      <c r="K3278" t="s">
        <v>27</v>
      </c>
      <c r="L3278" t="b">
        <v>1</v>
      </c>
      <c r="M3278" t="s">
        <v>15765</v>
      </c>
      <c r="N3278" t="str">
        <f>"693.21"</f>
        <v>693.21</v>
      </c>
      <c r="P3278" t="b">
        <v>0</v>
      </c>
      <c r="R3278" t="str">
        <f>"9780419215608"</f>
        <v>9780419215608</v>
      </c>
      <c r="S3278" t="str">
        <f>"9780203362402"</f>
        <v>9780203362402</v>
      </c>
      <c r="T3278">
        <v>53277752</v>
      </c>
    </row>
    <row r="3279" spans="1:20" x14ac:dyDescent="0.25">
      <c r="A3279">
        <v>94098</v>
      </c>
      <c r="B3279" t="s">
        <v>15766</v>
      </c>
      <c r="D3279" t="s">
        <v>15024</v>
      </c>
      <c r="E3279" t="s">
        <v>15025</v>
      </c>
      <c r="F3279">
        <v>2003</v>
      </c>
      <c r="G3279" t="s">
        <v>5299</v>
      </c>
      <c r="H3279" t="s">
        <v>15767</v>
      </c>
      <c r="I3279" t="s">
        <v>15768</v>
      </c>
      <c r="J3279" t="s">
        <v>26</v>
      </c>
      <c r="K3279" t="s">
        <v>27</v>
      </c>
      <c r="L3279" t="b">
        <v>1</v>
      </c>
      <c r="M3279" t="s">
        <v>15769</v>
      </c>
      <c r="N3279" t="str">
        <f>"613.94"</f>
        <v>613.94</v>
      </c>
      <c r="P3279" t="b">
        <v>0</v>
      </c>
      <c r="R3279" t="str">
        <f>"9781853178689"</f>
        <v>9781853178689</v>
      </c>
      <c r="S3279" t="str">
        <f>"9780203427361"</f>
        <v>9780203427361</v>
      </c>
      <c r="T3279">
        <v>53161376</v>
      </c>
    </row>
    <row r="3280" spans="1:20" x14ac:dyDescent="0.25">
      <c r="A3280">
        <v>94031</v>
      </c>
      <c r="B3280" t="s">
        <v>15770</v>
      </c>
      <c r="C3280" t="s">
        <v>15771</v>
      </c>
      <c r="D3280" t="s">
        <v>15024</v>
      </c>
      <c r="E3280" t="s">
        <v>15025</v>
      </c>
      <c r="F3280">
        <v>1990</v>
      </c>
      <c r="G3280" t="s">
        <v>8580</v>
      </c>
      <c r="H3280" t="s">
        <v>15772</v>
      </c>
      <c r="I3280" t="s">
        <v>15773</v>
      </c>
      <c r="J3280" t="s">
        <v>26</v>
      </c>
      <c r="K3280" t="s">
        <v>27</v>
      </c>
      <c r="L3280" t="b">
        <v>1</v>
      </c>
      <c r="M3280" t="s">
        <v>15774</v>
      </c>
      <c r="N3280" t="str">
        <f>"615.7"</f>
        <v>615.7</v>
      </c>
      <c r="P3280" t="b">
        <v>0</v>
      </c>
      <c r="R3280" t="str">
        <f>"9780850667387"</f>
        <v>9780850667387</v>
      </c>
      <c r="S3280" t="str">
        <f>"9780203489994"</f>
        <v>9780203489994</v>
      </c>
      <c r="T3280">
        <v>57239525</v>
      </c>
    </row>
    <row r="3281" spans="1:20" x14ac:dyDescent="0.25">
      <c r="A3281">
        <v>93720</v>
      </c>
      <c r="B3281" t="s">
        <v>15775</v>
      </c>
      <c r="D3281" t="s">
        <v>15024</v>
      </c>
      <c r="E3281" t="s">
        <v>15025</v>
      </c>
      <c r="F3281">
        <v>1999</v>
      </c>
      <c r="G3281" t="s">
        <v>8503</v>
      </c>
      <c r="H3281" t="s">
        <v>15776</v>
      </c>
      <c r="I3281" t="s">
        <v>15777</v>
      </c>
      <c r="J3281" t="s">
        <v>26</v>
      </c>
      <c r="K3281" t="s">
        <v>27</v>
      </c>
      <c r="L3281" t="b">
        <v>1</v>
      </c>
      <c r="M3281" t="s">
        <v>15778</v>
      </c>
      <c r="N3281" t="str">
        <f>"616.99/4"</f>
        <v>616.99/4</v>
      </c>
      <c r="P3281" t="b">
        <v>0</v>
      </c>
      <c r="R3281" t="str">
        <f>"9789057024702"</f>
        <v>9789057024702</v>
      </c>
      <c r="S3281" t="str">
        <f>"9780203304877"</f>
        <v>9780203304877</v>
      </c>
      <c r="T3281">
        <v>53313248</v>
      </c>
    </row>
    <row r="3282" spans="1:20" x14ac:dyDescent="0.25">
      <c r="A3282">
        <v>93540</v>
      </c>
      <c r="B3282" t="s">
        <v>15779</v>
      </c>
      <c r="C3282" t="s">
        <v>15780</v>
      </c>
      <c r="D3282" t="s">
        <v>15024</v>
      </c>
      <c r="E3282" t="s">
        <v>15025</v>
      </c>
      <c r="F3282">
        <v>1999</v>
      </c>
      <c r="G3282" t="s">
        <v>15781</v>
      </c>
      <c r="H3282" t="s">
        <v>15782</v>
      </c>
      <c r="I3282" t="s">
        <v>15783</v>
      </c>
      <c r="J3282" t="s">
        <v>26</v>
      </c>
      <c r="K3282" t="s">
        <v>27</v>
      </c>
      <c r="L3282" t="b">
        <v>1</v>
      </c>
      <c r="M3282" t="s">
        <v>15784</v>
      </c>
      <c r="N3282" t="str">
        <f>"583.96"</f>
        <v>583.96</v>
      </c>
      <c r="O3282" t="s">
        <v>15785</v>
      </c>
      <c r="P3282" t="b">
        <v>0</v>
      </c>
      <c r="R3282" t="str">
        <f>"9789057024320"</f>
        <v>9789057024320</v>
      </c>
      <c r="S3282" t="str">
        <f>"9780203303771"</f>
        <v>9780203303771</v>
      </c>
      <c r="T3282">
        <v>56885483</v>
      </c>
    </row>
    <row r="3283" spans="1:20" x14ac:dyDescent="0.25">
      <c r="A3283">
        <v>93277</v>
      </c>
      <c r="B3283" t="s">
        <v>15786</v>
      </c>
      <c r="D3283" t="s">
        <v>15024</v>
      </c>
      <c r="E3283" t="s">
        <v>15025</v>
      </c>
      <c r="F3283">
        <v>1991</v>
      </c>
      <c r="G3283" t="s">
        <v>4132</v>
      </c>
      <c r="H3283" t="s">
        <v>15787</v>
      </c>
      <c r="I3283" t="s">
        <v>15788</v>
      </c>
      <c r="J3283" t="s">
        <v>26</v>
      </c>
      <c r="K3283" t="s">
        <v>27</v>
      </c>
      <c r="L3283" t="b">
        <v>1</v>
      </c>
      <c r="M3283" t="s">
        <v>15789</v>
      </c>
      <c r="N3283" t="str">
        <f>"628.1/62"</f>
        <v>628.1/62</v>
      </c>
      <c r="P3283" t="b">
        <v>0</v>
      </c>
      <c r="R3283" t="str">
        <f>"9781851666324"</f>
        <v>9781851666324</v>
      </c>
      <c r="S3283" t="str">
        <f>"9780203215890"</f>
        <v>9780203215890</v>
      </c>
      <c r="T3283">
        <v>56909259</v>
      </c>
    </row>
    <row r="3284" spans="1:20" x14ac:dyDescent="0.25">
      <c r="A3284">
        <v>93194</v>
      </c>
      <c r="B3284" t="s">
        <v>15790</v>
      </c>
      <c r="D3284" t="s">
        <v>15024</v>
      </c>
      <c r="E3284" t="s">
        <v>15025</v>
      </c>
      <c r="F3284">
        <v>2003</v>
      </c>
      <c r="G3284" t="s">
        <v>10831</v>
      </c>
      <c r="H3284" t="s">
        <v>15791</v>
      </c>
      <c r="I3284" t="s">
        <v>15792</v>
      </c>
      <c r="J3284" t="s">
        <v>26</v>
      </c>
      <c r="K3284" t="s">
        <v>27</v>
      </c>
      <c r="L3284" t="b">
        <v>1</v>
      </c>
      <c r="M3284" t="s">
        <v>15793</v>
      </c>
      <c r="N3284" t="str">
        <f>"616.9607"</f>
        <v>616.9607</v>
      </c>
      <c r="P3284" t="b">
        <v>0</v>
      </c>
      <c r="R3284" t="str">
        <f>"9780748400003"</f>
        <v>9780748400003</v>
      </c>
      <c r="S3284" t="str">
        <f>"9780203221259"</f>
        <v>9780203221259</v>
      </c>
      <c r="T3284">
        <v>53002819</v>
      </c>
    </row>
    <row r="3285" spans="1:20" x14ac:dyDescent="0.25">
      <c r="A3285">
        <v>92724</v>
      </c>
      <c r="B3285" t="s">
        <v>15794</v>
      </c>
      <c r="C3285" t="s">
        <v>15795</v>
      </c>
      <c r="D3285" t="s">
        <v>5828</v>
      </c>
      <c r="E3285" t="s">
        <v>12469</v>
      </c>
      <c r="F3285">
        <v>2002</v>
      </c>
      <c r="G3285" t="s">
        <v>804</v>
      </c>
      <c r="H3285" t="s">
        <v>15796</v>
      </c>
      <c r="I3285" t="s">
        <v>15797</v>
      </c>
      <c r="J3285" t="s">
        <v>26</v>
      </c>
      <c r="K3285" t="s">
        <v>27</v>
      </c>
      <c r="L3285" t="b">
        <v>1</v>
      </c>
      <c r="M3285" t="s">
        <v>15798</v>
      </c>
      <c r="N3285" t="str">
        <f>"306/.09748/15"</f>
        <v>306/.09748/15</v>
      </c>
      <c r="P3285" t="b">
        <v>0</v>
      </c>
      <c r="R3285" t="str">
        <f>"9780195148435"</f>
        <v>9780195148435</v>
      </c>
      <c r="S3285" t="str">
        <f>"9780198033820"</f>
        <v>9780198033820</v>
      </c>
      <c r="T3285">
        <v>53956453</v>
      </c>
    </row>
    <row r="3286" spans="1:20" x14ac:dyDescent="0.25">
      <c r="A3286">
        <v>92088</v>
      </c>
      <c r="B3286" t="s">
        <v>15799</v>
      </c>
      <c r="C3286" t="s">
        <v>15800</v>
      </c>
      <c r="D3286" t="s">
        <v>233</v>
      </c>
      <c r="E3286" t="s">
        <v>7120</v>
      </c>
      <c r="F3286">
        <v>2003</v>
      </c>
      <c r="G3286" t="s">
        <v>4092</v>
      </c>
      <c r="H3286" t="s">
        <v>15801</v>
      </c>
      <c r="I3286" t="s">
        <v>15802</v>
      </c>
      <c r="J3286" t="s">
        <v>26</v>
      </c>
      <c r="K3286" t="s">
        <v>86</v>
      </c>
      <c r="L3286" t="b">
        <v>1</v>
      </c>
      <c r="M3286" t="s">
        <v>15803</v>
      </c>
      <c r="N3286" t="str">
        <f>"361.3/2"</f>
        <v>361.3/2</v>
      </c>
      <c r="P3286" t="b">
        <v>0</v>
      </c>
      <c r="Q3286" t="b">
        <v>0</v>
      </c>
      <c r="R3286" t="str">
        <f>"9780231121828"</f>
        <v>9780231121828</v>
      </c>
      <c r="S3286" t="str">
        <f>"9780231507523"</f>
        <v>9780231507523</v>
      </c>
      <c r="T3286">
        <v>232160260</v>
      </c>
    </row>
    <row r="3287" spans="1:20" x14ac:dyDescent="0.25">
      <c r="A3287">
        <v>92076</v>
      </c>
      <c r="B3287" t="s">
        <v>15804</v>
      </c>
      <c r="C3287" t="s">
        <v>15805</v>
      </c>
      <c r="D3287" t="s">
        <v>233</v>
      </c>
      <c r="E3287" t="s">
        <v>7120</v>
      </c>
      <c r="F3287">
        <v>2002</v>
      </c>
      <c r="G3287" t="s">
        <v>15806</v>
      </c>
      <c r="H3287" t="s">
        <v>15807</v>
      </c>
      <c r="I3287" t="s">
        <v>15808</v>
      </c>
      <c r="J3287" t="s">
        <v>26</v>
      </c>
      <c r="K3287" t="s">
        <v>86</v>
      </c>
      <c r="L3287" t="b">
        <v>1</v>
      </c>
      <c r="M3287" t="s">
        <v>15809</v>
      </c>
      <c r="N3287" t="str">
        <f>"895.6/08003"</f>
        <v>895.6/08003</v>
      </c>
      <c r="O3287" t="s">
        <v>15810</v>
      </c>
      <c r="P3287" t="b">
        <v>0</v>
      </c>
      <c r="R3287" t="str">
        <f>"9780231109901"</f>
        <v>9780231109901</v>
      </c>
      <c r="S3287" t="str">
        <f>"9780231507431"</f>
        <v>9780231507431</v>
      </c>
      <c r="T3287">
        <v>53206638</v>
      </c>
    </row>
    <row r="3288" spans="1:20" x14ac:dyDescent="0.25">
      <c r="A3288">
        <v>91920</v>
      </c>
      <c r="B3288" t="s">
        <v>15811</v>
      </c>
      <c r="D3288" t="s">
        <v>1151</v>
      </c>
      <c r="E3288" t="s">
        <v>234</v>
      </c>
      <c r="F3288">
        <v>2001</v>
      </c>
      <c r="G3288" t="s">
        <v>13093</v>
      </c>
      <c r="H3288" t="s">
        <v>15812</v>
      </c>
      <c r="I3288" t="s">
        <v>15813</v>
      </c>
      <c r="J3288" t="s">
        <v>26</v>
      </c>
      <c r="K3288" t="s">
        <v>27</v>
      </c>
      <c r="L3288" t="b">
        <v>1</v>
      </c>
      <c r="M3288" t="s">
        <v>15814</v>
      </c>
      <c r="N3288" t="str">
        <f>"362.1/1/0973"</f>
        <v>362.1/1/0973</v>
      </c>
      <c r="P3288" t="b">
        <v>0</v>
      </c>
      <c r="Q3288" t="b">
        <v>0</v>
      </c>
      <c r="R3288" t="str">
        <f>"9780815702368"</f>
        <v>9780815702368</v>
      </c>
      <c r="S3288" t="str">
        <f>"9780815798361"</f>
        <v>9780815798361</v>
      </c>
      <c r="T3288">
        <v>53795199</v>
      </c>
    </row>
    <row r="3289" spans="1:20" x14ac:dyDescent="0.25">
      <c r="A3289">
        <v>91671</v>
      </c>
      <c r="B3289" t="s">
        <v>15815</v>
      </c>
      <c r="C3289" t="s">
        <v>15816</v>
      </c>
      <c r="D3289" t="s">
        <v>10161</v>
      </c>
      <c r="E3289" t="s">
        <v>10161</v>
      </c>
      <c r="F3289">
        <v>1993</v>
      </c>
      <c r="G3289" t="s">
        <v>2156</v>
      </c>
      <c r="H3289" t="s">
        <v>15817</v>
      </c>
      <c r="I3289" t="s">
        <v>15818</v>
      </c>
      <c r="J3289" t="s">
        <v>26</v>
      </c>
      <c r="K3289" t="s">
        <v>27</v>
      </c>
      <c r="L3289" t="b">
        <v>1</v>
      </c>
      <c r="M3289" t="s">
        <v>15819</v>
      </c>
      <c r="N3289" t="str">
        <f>"333.91/22/098"</f>
        <v>333.91/22/098</v>
      </c>
      <c r="P3289" t="b">
        <v>0</v>
      </c>
      <c r="R3289" t="str">
        <f>"9780889366664"</f>
        <v>9780889366664</v>
      </c>
      <c r="S3289" t="str">
        <f>"9781552501085"</f>
        <v>9781552501085</v>
      </c>
      <c r="T3289">
        <v>52916315</v>
      </c>
    </row>
    <row r="3290" spans="1:20" x14ac:dyDescent="0.25">
      <c r="A3290">
        <v>91666</v>
      </c>
      <c r="B3290" t="s">
        <v>15820</v>
      </c>
      <c r="C3290" t="s">
        <v>15821</v>
      </c>
      <c r="D3290" t="s">
        <v>10161</v>
      </c>
      <c r="E3290" t="s">
        <v>10161</v>
      </c>
      <c r="F3290">
        <v>1999</v>
      </c>
      <c r="G3290" t="s">
        <v>9412</v>
      </c>
      <c r="H3290" t="s">
        <v>15822</v>
      </c>
      <c r="I3290" t="s">
        <v>15823</v>
      </c>
      <c r="J3290" t="s">
        <v>26</v>
      </c>
      <c r="K3290" t="s">
        <v>27</v>
      </c>
      <c r="L3290" t="b">
        <v>1</v>
      </c>
      <c r="M3290" t="s">
        <v>14650</v>
      </c>
      <c r="N3290" t="str">
        <f>"363.72/8/096"</f>
        <v>363.72/8/096</v>
      </c>
      <c r="P3290" t="b">
        <v>0</v>
      </c>
      <c r="R3290" t="str">
        <f>"9780889368804"</f>
        <v>9780889368804</v>
      </c>
      <c r="S3290" t="str">
        <f>"9781552501016"</f>
        <v>9781552501016</v>
      </c>
      <c r="T3290">
        <v>52916183</v>
      </c>
    </row>
    <row r="3291" spans="1:20" x14ac:dyDescent="0.25">
      <c r="A3291">
        <v>91659</v>
      </c>
      <c r="B3291" t="s">
        <v>15824</v>
      </c>
      <c r="C3291" t="s">
        <v>15825</v>
      </c>
      <c r="D3291" t="s">
        <v>10161</v>
      </c>
      <c r="E3291" t="s">
        <v>10161</v>
      </c>
      <c r="F3291">
        <v>2000</v>
      </c>
      <c r="G3291" t="s">
        <v>2702</v>
      </c>
      <c r="H3291" t="s">
        <v>15826</v>
      </c>
      <c r="I3291" t="s">
        <v>15827</v>
      </c>
      <c r="J3291" t="s">
        <v>26</v>
      </c>
      <c r="K3291" t="s">
        <v>27</v>
      </c>
      <c r="L3291" t="b">
        <v>1</v>
      </c>
      <c r="M3291" t="s">
        <v>15828</v>
      </c>
      <c r="N3291" t="str">
        <f>"577.5/1/0972853"</f>
        <v>577.5/1/0972853</v>
      </c>
      <c r="P3291" t="b">
        <v>0</v>
      </c>
      <c r="R3291" t="str">
        <f>"9780889369252"</f>
        <v>9780889369252</v>
      </c>
      <c r="S3291" t="str">
        <f>"9781552500989"</f>
        <v>9781552500989</v>
      </c>
      <c r="T3291">
        <v>52915808</v>
      </c>
    </row>
    <row r="3292" spans="1:20" x14ac:dyDescent="0.25">
      <c r="A3292">
        <v>90287</v>
      </c>
      <c r="B3292" t="s">
        <v>15829</v>
      </c>
      <c r="C3292" t="s">
        <v>15830</v>
      </c>
      <c r="D3292" t="s">
        <v>2238</v>
      </c>
      <c r="E3292" t="s">
        <v>2239</v>
      </c>
      <c r="F3292">
        <v>2003</v>
      </c>
      <c r="G3292" t="s">
        <v>1016</v>
      </c>
      <c r="H3292" t="s">
        <v>15831</v>
      </c>
      <c r="I3292" t="s">
        <v>15832</v>
      </c>
      <c r="J3292" t="s">
        <v>26</v>
      </c>
      <c r="K3292" t="s">
        <v>86</v>
      </c>
      <c r="L3292" t="b">
        <v>1</v>
      </c>
      <c r="M3292" t="s">
        <v>15833</v>
      </c>
      <c r="N3292" t="str">
        <f>"371.2/54"</f>
        <v>371.2/54</v>
      </c>
      <c r="P3292" t="b">
        <v>0</v>
      </c>
      <c r="R3292" t="str">
        <f>"9780805841558"</f>
        <v>9780805841558</v>
      </c>
      <c r="S3292" t="str">
        <f>"9781410607812"</f>
        <v>9781410607812</v>
      </c>
      <c r="T3292">
        <v>52994836</v>
      </c>
    </row>
    <row r="3293" spans="1:20" x14ac:dyDescent="0.25">
      <c r="A3293">
        <v>90116</v>
      </c>
      <c r="B3293" t="s">
        <v>15834</v>
      </c>
      <c r="C3293" t="s">
        <v>15835</v>
      </c>
      <c r="D3293" t="s">
        <v>2238</v>
      </c>
      <c r="E3293" t="s">
        <v>15758</v>
      </c>
      <c r="F3293">
        <v>2000</v>
      </c>
      <c r="G3293" t="s">
        <v>15836</v>
      </c>
      <c r="H3293" t="s">
        <v>15837</v>
      </c>
      <c r="I3293" t="s">
        <v>15838</v>
      </c>
      <c r="J3293" t="s">
        <v>26</v>
      </c>
      <c r="K3293" t="s">
        <v>27</v>
      </c>
      <c r="L3293" t="b">
        <v>1</v>
      </c>
      <c r="M3293" t="s">
        <v>15839</v>
      </c>
      <c r="N3293" t="str">
        <f>"371.9/046"</f>
        <v>371.9/046</v>
      </c>
      <c r="O3293" t="s">
        <v>15840</v>
      </c>
      <c r="P3293" t="b">
        <v>0</v>
      </c>
      <c r="R3293" t="str">
        <f>"9780203800072"</f>
        <v>9780203800072</v>
      </c>
      <c r="S3293" t="str">
        <f>"9780585459936"</f>
        <v>9780585459936</v>
      </c>
      <c r="T3293">
        <v>52760448</v>
      </c>
    </row>
    <row r="3294" spans="1:20" x14ac:dyDescent="0.25">
      <c r="A3294">
        <v>89110</v>
      </c>
      <c r="B3294" t="s">
        <v>15841</v>
      </c>
      <c r="D3294" t="s">
        <v>2238</v>
      </c>
      <c r="E3294" t="s">
        <v>2239</v>
      </c>
      <c r="F3294">
        <v>1997</v>
      </c>
      <c r="G3294" t="s">
        <v>197</v>
      </c>
      <c r="H3294" t="s">
        <v>15842</v>
      </c>
      <c r="J3294" t="s">
        <v>26</v>
      </c>
      <c r="K3294" t="s">
        <v>86</v>
      </c>
      <c r="L3294" t="b">
        <v>1</v>
      </c>
      <c r="M3294" t="s">
        <v>15843</v>
      </c>
      <c r="N3294" t="str">
        <f>"813/.2"</f>
        <v>813/.2</v>
      </c>
      <c r="O3294" t="s">
        <v>15844</v>
      </c>
      <c r="P3294" t="b">
        <v>0</v>
      </c>
      <c r="R3294" t="str">
        <f>"9780203199398"</f>
        <v>9780203199398</v>
      </c>
      <c r="S3294" t="str">
        <f>"9780585467627"</f>
        <v>9780585467627</v>
      </c>
      <c r="T3294">
        <v>52921714</v>
      </c>
    </row>
    <row r="3295" spans="1:20" x14ac:dyDescent="0.25">
      <c r="A3295">
        <v>87497</v>
      </c>
      <c r="B3295" t="s">
        <v>15845</v>
      </c>
      <c r="C3295" t="s">
        <v>15846</v>
      </c>
      <c r="D3295" t="s">
        <v>203</v>
      </c>
      <c r="E3295" t="s">
        <v>1109</v>
      </c>
      <c r="F3295">
        <v>2003</v>
      </c>
      <c r="G3295" t="s">
        <v>1110</v>
      </c>
      <c r="H3295" t="s">
        <v>15847</v>
      </c>
      <c r="I3295" t="s">
        <v>15848</v>
      </c>
      <c r="J3295" t="s">
        <v>26</v>
      </c>
      <c r="K3295" t="s">
        <v>86</v>
      </c>
      <c r="L3295" t="b">
        <v>1</v>
      </c>
      <c r="M3295" t="s">
        <v>15849</v>
      </c>
      <c r="N3295" t="str">
        <f>"616.89"</f>
        <v>616.89</v>
      </c>
      <c r="P3295" t="b">
        <v>0</v>
      </c>
      <c r="R3295" t="str">
        <f>"9781901242751"</f>
        <v>9781901242751</v>
      </c>
      <c r="S3295" t="str">
        <f>"9780585466590"</f>
        <v>9780585466590</v>
      </c>
      <c r="T3295">
        <v>52859376</v>
      </c>
    </row>
    <row r="3296" spans="1:20" x14ac:dyDescent="0.25">
      <c r="A3296">
        <v>87482</v>
      </c>
      <c r="B3296" t="s">
        <v>15850</v>
      </c>
      <c r="C3296" t="s">
        <v>7223</v>
      </c>
      <c r="D3296" t="s">
        <v>203</v>
      </c>
      <c r="E3296" t="s">
        <v>1109</v>
      </c>
      <c r="F3296">
        <v>2002</v>
      </c>
      <c r="G3296" t="s">
        <v>1110</v>
      </c>
      <c r="H3296" t="s">
        <v>15851</v>
      </c>
      <c r="I3296" t="s">
        <v>15852</v>
      </c>
      <c r="J3296" t="s">
        <v>26</v>
      </c>
      <c r="K3296" t="s">
        <v>86</v>
      </c>
      <c r="L3296" t="b">
        <v>1</v>
      </c>
      <c r="M3296" t="s">
        <v>15853</v>
      </c>
      <c r="N3296" t="str">
        <f>"616.8982"</f>
        <v>616.8982</v>
      </c>
      <c r="P3296" t="b">
        <v>0</v>
      </c>
      <c r="R3296" t="str">
        <f>"9781901242775"</f>
        <v>9781901242775</v>
      </c>
      <c r="S3296" t="str">
        <f>"9780585464459"</f>
        <v>9780585464459</v>
      </c>
      <c r="T3296">
        <v>53011740</v>
      </c>
    </row>
    <row r="3297" spans="1:20" x14ac:dyDescent="0.25">
      <c r="A3297">
        <v>84588</v>
      </c>
      <c r="B3297" t="s">
        <v>15854</v>
      </c>
      <c r="D3297" t="s">
        <v>2238</v>
      </c>
      <c r="E3297" t="s">
        <v>2239</v>
      </c>
      <c r="F3297">
        <v>2001</v>
      </c>
      <c r="G3297" t="s">
        <v>5014</v>
      </c>
      <c r="H3297" t="s">
        <v>15855</v>
      </c>
      <c r="I3297" t="s">
        <v>15856</v>
      </c>
      <c r="J3297" t="s">
        <v>26</v>
      </c>
      <c r="K3297" t="s">
        <v>86</v>
      </c>
      <c r="L3297" t="b">
        <v>1</v>
      </c>
      <c r="M3297" t="s">
        <v>15857</v>
      </c>
      <c r="N3297" t="str">
        <f>"111/.6"</f>
        <v>111/.6</v>
      </c>
      <c r="O3297" t="s">
        <v>15858</v>
      </c>
      <c r="P3297" t="b">
        <v>0</v>
      </c>
      <c r="R3297" t="str">
        <f>"9780415070485"</f>
        <v>9780415070485</v>
      </c>
      <c r="S3297" t="str">
        <f>"9780585464800"</f>
        <v>9780585464800</v>
      </c>
      <c r="T3297">
        <v>52847077</v>
      </c>
    </row>
    <row r="3298" spans="1:20" x14ac:dyDescent="0.25">
      <c r="A3298">
        <v>84521</v>
      </c>
      <c r="B3298" t="s">
        <v>15859</v>
      </c>
      <c r="D3298" t="s">
        <v>15024</v>
      </c>
      <c r="E3298" t="s">
        <v>15025</v>
      </c>
      <c r="F3298">
        <v>1998</v>
      </c>
      <c r="G3298" t="s">
        <v>15742</v>
      </c>
      <c r="H3298" t="s">
        <v>15860</v>
      </c>
      <c r="I3298" t="s">
        <v>15861</v>
      </c>
      <c r="J3298" t="s">
        <v>26</v>
      </c>
      <c r="K3298" t="s">
        <v>27</v>
      </c>
      <c r="L3298" t="b">
        <v>1</v>
      </c>
      <c r="M3298" t="s">
        <v>15862</v>
      </c>
      <c r="N3298" t="str">
        <f>"620.1/36"</f>
        <v>620.1/36</v>
      </c>
      <c r="O3298" t="s">
        <v>15863</v>
      </c>
      <c r="P3298" t="b">
        <v>0</v>
      </c>
      <c r="R3298" t="str">
        <f>"9780415512077"</f>
        <v>9780415512077</v>
      </c>
      <c r="S3298" t="str">
        <f>"9780585460666"</f>
        <v>9780585460666</v>
      </c>
      <c r="T3298">
        <v>52732184</v>
      </c>
    </row>
    <row r="3299" spans="1:20" x14ac:dyDescent="0.25">
      <c r="A3299">
        <v>84460</v>
      </c>
      <c r="B3299" t="s">
        <v>15864</v>
      </c>
      <c r="C3299" t="s">
        <v>15865</v>
      </c>
      <c r="D3299" t="s">
        <v>2238</v>
      </c>
      <c r="E3299" t="s">
        <v>15758</v>
      </c>
      <c r="F3299">
        <v>2001</v>
      </c>
      <c r="G3299" t="s">
        <v>14433</v>
      </c>
      <c r="H3299" t="s">
        <v>15866</v>
      </c>
      <c r="I3299" t="s">
        <v>15867</v>
      </c>
      <c r="J3299" t="s">
        <v>26</v>
      </c>
      <c r="K3299" t="s">
        <v>27</v>
      </c>
      <c r="L3299" t="b">
        <v>1</v>
      </c>
      <c r="M3299" t="s">
        <v>15868</v>
      </c>
      <c r="N3299" t="str">
        <f>"330.15/42"</f>
        <v>330.15/42</v>
      </c>
      <c r="O3299" t="s">
        <v>15869</v>
      </c>
      <c r="P3299" t="b">
        <v>0</v>
      </c>
      <c r="R3299" t="str">
        <f>"9780203459973"</f>
        <v>9780203459973</v>
      </c>
      <c r="S3299" t="str">
        <f>"9780585451633"</f>
        <v>9780585451633</v>
      </c>
      <c r="T3299">
        <v>52757916</v>
      </c>
    </row>
    <row r="3300" spans="1:20" x14ac:dyDescent="0.25">
      <c r="A3300">
        <v>83258</v>
      </c>
      <c r="B3300" t="s">
        <v>15870</v>
      </c>
      <c r="C3300" t="s">
        <v>15871</v>
      </c>
      <c r="D3300" t="s">
        <v>15024</v>
      </c>
      <c r="E3300" t="s">
        <v>15025</v>
      </c>
      <c r="F3300">
        <v>1997</v>
      </c>
      <c r="G3300" t="s">
        <v>15742</v>
      </c>
      <c r="H3300" t="s">
        <v>15872</v>
      </c>
      <c r="I3300" t="s">
        <v>15873</v>
      </c>
      <c r="J3300" t="s">
        <v>26</v>
      </c>
      <c r="K3300" t="s">
        <v>27</v>
      </c>
      <c r="L3300" t="b">
        <v>1</v>
      </c>
      <c r="M3300" t="s">
        <v>15874</v>
      </c>
      <c r="N3300" t="str">
        <f>"624.1/834"</f>
        <v>624.1/834</v>
      </c>
      <c r="P3300" t="b">
        <v>0</v>
      </c>
      <c r="R3300" t="str">
        <f>"9780419216902"</f>
        <v>9780419216902</v>
      </c>
      <c r="S3300" t="str">
        <f>"9780585447674"</f>
        <v>9780585447674</v>
      </c>
      <c r="T3300">
        <v>560362877</v>
      </c>
    </row>
    <row r="3301" spans="1:20" x14ac:dyDescent="0.25">
      <c r="A3301">
        <v>83226</v>
      </c>
      <c r="B3301" t="s">
        <v>15875</v>
      </c>
      <c r="C3301" t="s">
        <v>15876</v>
      </c>
      <c r="D3301" t="s">
        <v>2238</v>
      </c>
      <c r="E3301" t="s">
        <v>2239</v>
      </c>
      <c r="F3301">
        <v>1996</v>
      </c>
      <c r="G3301" t="s">
        <v>23</v>
      </c>
      <c r="H3301" t="s">
        <v>15877</v>
      </c>
      <c r="I3301" t="s">
        <v>15878</v>
      </c>
      <c r="J3301" t="s">
        <v>26</v>
      </c>
      <c r="K3301" t="s">
        <v>86</v>
      </c>
      <c r="L3301" t="b">
        <v>1</v>
      </c>
      <c r="M3301" t="s">
        <v>15879</v>
      </c>
      <c r="N3301" t="str">
        <f>"344.41/0412;344.104412"</f>
        <v>344.41/0412;344.104412</v>
      </c>
      <c r="O3301" t="s">
        <v>15880</v>
      </c>
      <c r="P3301" t="b">
        <v>0</v>
      </c>
      <c r="R3301" t="str">
        <f>"9780203417898"</f>
        <v>9780203417898</v>
      </c>
      <c r="S3301" t="str">
        <f>"9780585449340"</f>
        <v>9780585449340</v>
      </c>
      <c r="T3301">
        <v>52422001</v>
      </c>
    </row>
    <row r="3302" spans="1:20" x14ac:dyDescent="0.25">
      <c r="A3302">
        <v>83100</v>
      </c>
      <c r="B3302" t="s">
        <v>15881</v>
      </c>
      <c r="C3302" t="s">
        <v>15882</v>
      </c>
      <c r="D3302" t="s">
        <v>2238</v>
      </c>
      <c r="E3302" t="s">
        <v>15758</v>
      </c>
      <c r="F3302">
        <v>1992</v>
      </c>
      <c r="G3302" t="s">
        <v>5204</v>
      </c>
      <c r="H3302" t="s">
        <v>15883</v>
      </c>
      <c r="J3302" t="s">
        <v>26</v>
      </c>
      <c r="K3302" t="s">
        <v>27</v>
      </c>
      <c r="L3302" t="b">
        <v>1</v>
      </c>
      <c r="M3302" t="s">
        <v>15884</v>
      </c>
      <c r="N3302" t="str">
        <f>"941.06"</f>
        <v>941.06</v>
      </c>
      <c r="P3302" t="b">
        <v>0</v>
      </c>
      <c r="R3302" t="str">
        <f>"9780203425589"</f>
        <v>9780203425589</v>
      </c>
      <c r="S3302" t="str">
        <f>"9780585447568"</f>
        <v>9780585447568</v>
      </c>
      <c r="T3302">
        <v>52446452</v>
      </c>
    </row>
    <row r="3303" spans="1:20" x14ac:dyDescent="0.25">
      <c r="A3303">
        <v>82979</v>
      </c>
      <c r="B3303" t="s">
        <v>15885</v>
      </c>
      <c r="D3303" t="s">
        <v>255</v>
      </c>
      <c r="E3303" t="s">
        <v>256</v>
      </c>
      <c r="F3303">
        <v>2002</v>
      </c>
      <c r="G3303" t="s">
        <v>2301</v>
      </c>
      <c r="H3303" t="s">
        <v>15886</v>
      </c>
      <c r="I3303" t="s">
        <v>15887</v>
      </c>
      <c r="J3303" t="s">
        <v>26</v>
      </c>
      <c r="K3303" t="s">
        <v>27</v>
      </c>
      <c r="L3303" t="b">
        <v>1</v>
      </c>
      <c r="M3303" t="s">
        <v>5640</v>
      </c>
      <c r="N3303" t="str">
        <f>"821/.914"</f>
        <v>821/.914</v>
      </c>
      <c r="P3303" t="b">
        <v>0</v>
      </c>
      <c r="S3303" t="str">
        <f>"9781775585206"</f>
        <v>9781775585206</v>
      </c>
      <c r="T3303">
        <v>52565117</v>
      </c>
    </row>
    <row r="3304" spans="1:20" x14ac:dyDescent="0.25">
      <c r="A3304">
        <v>80303</v>
      </c>
      <c r="B3304" t="s">
        <v>15888</v>
      </c>
      <c r="C3304" t="s">
        <v>15889</v>
      </c>
      <c r="D3304" t="s">
        <v>15024</v>
      </c>
      <c r="E3304" t="s">
        <v>15025</v>
      </c>
      <c r="F3304">
        <v>2000</v>
      </c>
      <c r="G3304" t="s">
        <v>15742</v>
      </c>
      <c r="H3304" t="s">
        <v>15890</v>
      </c>
      <c r="I3304" t="s">
        <v>15891</v>
      </c>
      <c r="J3304" t="s">
        <v>26</v>
      </c>
      <c r="K3304" t="s">
        <v>27</v>
      </c>
      <c r="L3304" t="b">
        <v>1</v>
      </c>
      <c r="M3304" t="s">
        <v>15892</v>
      </c>
      <c r="N3304" t="str">
        <f>"690/.896"</f>
        <v>690/.896</v>
      </c>
      <c r="P3304" t="b">
        <v>0</v>
      </c>
      <c r="R3304" t="str">
        <f>"9780415512329"</f>
        <v>9780415512329</v>
      </c>
      <c r="S3304" t="str">
        <f>"9780203235386"</f>
        <v>9780203235386</v>
      </c>
      <c r="T3304">
        <v>52183617</v>
      </c>
    </row>
    <row r="3305" spans="1:20" x14ac:dyDescent="0.25">
      <c r="A3305">
        <v>80220</v>
      </c>
      <c r="B3305" t="s">
        <v>15893</v>
      </c>
      <c r="D3305" t="s">
        <v>15024</v>
      </c>
      <c r="E3305" t="s">
        <v>15025</v>
      </c>
      <c r="F3305">
        <v>1997</v>
      </c>
      <c r="G3305" t="s">
        <v>15742</v>
      </c>
      <c r="H3305" t="s">
        <v>15894</v>
      </c>
      <c r="I3305" t="s">
        <v>15895</v>
      </c>
      <c r="J3305" t="s">
        <v>26</v>
      </c>
      <c r="K3305" t="s">
        <v>27</v>
      </c>
      <c r="L3305" t="b">
        <v>1</v>
      </c>
      <c r="M3305" t="s">
        <v>15892</v>
      </c>
      <c r="N3305" t="str">
        <f>"624.1/834"</f>
        <v>624.1/834</v>
      </c>
      <c r="P3305" t="b">
        <v>0</v>
      </c>
      <c r="R3305" t="str">
        <f>"9780419202806"</f>
        <v>9780419202806</v>
      </c>
      <c r="S3305" t="str">
        <f>"9780203237694"</f>
        <v>9780203237694</v>
      </c>
      <c r="T3305">
        <v>52169606</v>
      </c>
    </row>
    <row r="3306" spans="1:20" x14ac:dyDescent="0.25">
      <c r="A3306">
        <v>79627</v>
      </c>
      <c r="B3306" t="s">
        <v>15896</v>
      </c>
      <c r="D3306" t="s">
        <v>15024</v>
      </c>
      <c r="E3306" t="s">
        <v>15025</v>
      </c>
      <c r="F3306">
        <v>1990</v>
      </c>
      <c r="G3306" t="s">
        <v>45</v>
      </c>
      <c r="H3306" t="s">
        <v>15897</v>
      </c>
      <c r="I3306" t="s">
        <v>15898</v>
      </c>
      <c r="J3306" t="s">
        <v>26</v>
      </c>
      <c r="K3306" t="s">
        <v>27</v>
      </c>
      <c r="L3306" t="b">
        <v>1</v>
      </c>
      <c r="M3306" t="s">
        <v>15899</v>
      </c>
      <c r="N3306" t="str">
        <f>"618.92/8552"</f>
        <v>618.92/8552</v>
      </c>
      <c r="O3306" t="s">
        <v>15900</v>
      </c>
      <c r="P3306" t="b">
        <v>0</v>
      </c>
      <c r="R3306" t="str">
        <f>"9780850664911"</f>
        <v>9780850664911</v>
      </c>
      <c r="S3306" t="str">
        <f>"9780203224731"</f>
        <v>9780203224731</v>
      </c>
      <c r="T3306">
        <v>52053664</v>
      </c>
    </row>
    <row r="3307" spans="1:20" x14ac:dyDescent="0.25">
      <c r="A3307">
        <v>78894</v>
      </c>
      <c r="B3307" t="s">
        <v>15901</v>
      </c>
      <c r="D3307" t="s">
        <v>233</v>
      </c>
      <c r="E3307" t="s">
        <v>7120</v>
      </c>
      <c r="F3307">
        <v>2001</v>
      </c>
      <c r="G3307" t="s">
        <v>15902</v>
      </c>
      <c r="H3307" t="s">
        <v>15903</v>
      </c>
      <c r="I3307" t="s">
        <v>15904</v>
      </c>
      <c r="J3307" t="s">
        <v>26</v>
      </c>
      <c r="K3307" t="s">
        <v>86</v>
      </c>
      <c r="L3307" t="b">
        <v>1</v>
      </c>
      <c r="M3307" t="s">
        <v>15905</v>
      </c>
      <c r="N3307" t="str">
        <f>"975/.00497"</f>
        <v>975/.00497</v>
      </c>
      <c r="O3307" t="s">
        <v>15906</v>
      </c>
      <c r="P3307" t="b">
        <v>0</v>
      </c>
      <c r="R3307" t="str">
        <f>"9780231115704"</f>
        <v>9780231115704</v>
      </c>
      <c r="S3307" t="str">
        <f>"9780231506021"</f>
        <v>9780231506021</v>
      </c>
      <c r="T3307">
        <v>52233472</v>
      </c>
    </row>
    <row r="3308" spans="1:20" x14ac:dyDescent="0.25">
      <c r="A3308">
        <v>78660</v>
      </c>
      <c r="B3308" t="s">
        <v>15907</v>
      </c>
      <c r="C3308" t="s">
        <v>15908</v>
      </c>
      <c r="D3308" t="s">
        <v>10161</v>
      </c>
      <c r="E3308" t="s">
        <v>10161</v>
      </c>
      <c r="F3308">
        <v>1996</v>
      </c>
      <c r="G3308" t="s">
        <v>1900</v>
      </c>
      <c r="H3308" t="s">
        <v>15909</v>
      </c>
      <c r="I3308" t="s">
        <v>15910</v>
      </c>
      <c r="J3308" t="s">
        <v>503</v>
      </c>
      <c r="K3308" t="s">
        <v>27</v>
      </c>
      <c r="L3308" t="b">
        <v>1</v>
      </c>
      <c r="M3308" t="s">
        <v>15911</v>
      </c>
      <c r="N3308" t="str">
        <f>"305.43/6"</f>
        <v>305.43/6</v>
      </c>
      <c r="P3308" t="b">
        <v>0</v>
      </c>
      <c r="R3308" t="str">
        <f>"9780889367913"</f>
        <v>9780889367913</v>
      </c>
      <c r="S3308" t="str">
        <f>"9781552500521"</f>
        <v>9781552500521</v>
      </c>
      <c r="T3308">
        <v>52316354</v>
      </c>
    </row>
    <row r="3309" spans="1:20" x14ac:dyDescent="0.25">
      <c r="A3309">
        <v>78406</v>
      </c>
      <c r="B3309" t="s">
        <v>15912</v>
      </c>
      <c r="C3309" t="s">
        <v>15913</v>
      </c>
      <c r="D3309" t="s">
        <v>10249</v>
      </c>
      <c r="E3309" t="s">
        <v>10249</v>
      </c>
      <c r="F3309">
        <v>1996</v>
      </c>
      <c r="G3309" t="s">
        <v>15914</v>
      </c>
      <c r="H3309" t="s">
        <v>15915</v>
      </c>
      <c r="I3309" t="s">
        <v>15916</v>
      </c>
      <c r="J3309" t="s">
        <v>26</v>
      </c>
      <c r="K3309" t="s">
        <v>86</v>
      </c>
      <c r="L3309" t="b">
        <v>1</v>
      </c>
      <c r="M3309" t="s">
        <v>15917</v>
      </c>
      <c r="N3309" t="str">
        <f>"576.82"</f>
        <v>576.82</v>
      </c>
      <c r="O3309" t="s">
        <v>15918</v>
      </c>
      <c r="P3309" t="b">
        <v>0</v>
      </c>
      <c r="R3309" t="str">
        <f>"9780691026152"</f>
        <v>9780691026152</v>
      </c>
      <c r="S3309" t="str">
        <f>"9781400813827"</f>
        <v>9781400813827</v>
      </c>
      <c r="T3309">
        <v>52780336</v>
      </c>
    </row>
    <row r="3310" spans="1:20" x14ac:dyDescent="0.25">
      <c r="A3310">
        <v>77423</v>
      </c>
      <c r="B3310" t="s">
        <v>15919</v>
      </c>
      <c r="D3310" t="s">
        <v>10161</v>
      </c>
      <c r="E3310" t="s">
        <v>10161</v>
      </c>
      <c r="F3310">
        <v>2002</v>
      </c>
      <c r="G3310" t="s">
        <v>14332</v>
      </c>
      <c r="H3310" t="s">
        <v>15920</v>
      </c>
      <c r="I3310" t="s">
        <v>15921</v>
      </c>
      <c r="J3310" t="s">
        <v>26</v>
      </c>
      <c r="K3310" t="s">
        <v>27</v>
      </c>
      <c r="L3310" t="b">
        <v>1</v>
      </c>
      <c r="M3310" t="s">
        <v>15668</v>
      </c>
      <c r="N3310" t="str">
        <f>"614.4/22724"</f>
        <v>614.4/22724</v>
      </c>
      <c r="O3310" t="s">
        <v>15919</v>
      </c>
      <c r="P3310" t="b">
        <v>0</v>
      </c>
      <c r="R3310" t="str">
        <f>"9780889369481"</f>
        <v>9780889369481</v>
      </c>
      <c r="S3310" t="str">
        <f>"9781552500231"</f>
        <v>9781552500231</v>
      </c>
      <c r="T3310">
        <v>53988334</v>
      </c>
    </row>
    <row r="3311" spans="1:20" x14ac:dyDescent="0.25">
      <c r="A3311">
        <v>77303</v>
      </c>
      <c r="B3311" t="s">
        <v>15922</v>
      </c>
      <c r="D3311" t="s">
        <v>15024</v>
      </c>
      <c r="E3311" t="s">
        <v>15025</v>
      </c>
      <c r="F3311">
        <v>1996</v>
      </c>
      <c r="G3311" t="s">
        <v>15923</v>
      </c>
      <c r="H3311" t="s">
        <v>15924</v>
      </c>
      <c r="I3311" t="s">
        <v>15925</v>
      </c>
      <c r="J3311" t="s">
        <v>26</v>
      </c>
      <c r="K3311" t="s">
        <v>86</v>
      </c>
      <c r="L3311" t="b">
        <v>1</v>
      </c>
      <c r="M3311" t="s">
        <v>15926</v>
      </c>
      <c r="N3311" t="str">
        <f>"670"</f>
        <v>670</v>
      </c>
      <c r="P3311" t="b">
        <v>0</v>
      </c>
      <c r="R3311" t="str">
        <f>"9781857283389"</f>
        <v>9781857283389</v>
      </c>
      <c r="S3311" t="str">
        <f>"9781135366582"</f>
        <v>9781135366582</v>
      </c>
      <c r="T3311">
        <v>52558530</v>
      </c>
    </row>
    <row r="3312" spans="1:20" x14ac:dyDescent="0.25">
      <c r="A3312">
        <v>77244</v>
      </c>
      <c r="B3312" t="s">
        <v>15927</v>
      </c>
      <c r="C3312" t="s">
        <v>15928</v>
      </c>
      <c r="D3312" t="s">
        <v>2238</v>
      </c>
      <c r="E3312" t="s">
        <v>2239</v>
      </c>
      <c r="F3312">
        <v>2000</v>
      </c>
      <c r="G3312" t="s">
        <v>1649</v>
      </c>
      <c r="H3312" t="s">
        <v>15929</v>
      </c>
      <c r="I3312" t="s">
        <v>15930</v>
      </c>
      <c r="J3312" t="s">
        <v>26</v>
      </c>
      <c r="K3312" t="s">
        <v>86</v>
      </c>
      <c r="L3312" t="b">
        <v>1</v>
      </c>
      <c r="M3312" t="s">
        <v>15931</v>
      </c>
      <c r="N3312" t="str">
        <f>"324.2/094"</f>
        <v>324.2/094</v>
      </c>
      <c r="O3312" t="s">
        <v>15932</v>
      </c>
      <c r="P3312" t="b">
        <v>0</v>
      </c>
      <c r="R3312" t="str">
        <f>"9780815329305"</f>
        <v>9780815329305</v>
      </c>
      <c r="S3312" t="str">
        <f>"9780203900307"</f>
        <v>9780203900307</v>
      </c>
      <c r="T3312">
        <v>51912521</v>
      </c>
    </row>
    <row r="3313" spans="1:20" x14ac:dyDescent="0.25">
      <c r="A3313">
        <v>76899</v>
      </c>
      <c r="B3313" t="s">
        <v>15933</v>
      </c>
      <c r="D3313" t="s">
        <v>15024</v>
      </c>
      <c r="E3313" t="s">
        <v>15025</v>
      </c>
      <c r="F3313">
        <v>2000</v>
      </c>
      <c r="G3313" t="s">
        <v>8580</v>
      </c>
      <c r="H3313" t="s">
        <v>15934</v>
      </c>
      <c r="I3313" t="s">
        <v>15935</v>
      </c>
      <c r="J3313" t="s">
        <v>26</v>
      </c>
      <c r="K3313" t="s">
        <v>27</v>
      </c>
      <c r="L3313" t="b">
        <v>1</v>
      </c>
      <c r="M3313" t="s">
        <v>15936</v>
      </c>
      <c r="N3313" t="str">
        <f>"571.9/36"</f>
        <v>571.9/36</v>
      </c>
      <c r="P3313" t="b">
        <v>0</v>
      </c>
      <c r="R3313" t="str">
        <f>"9780748408153"</f>
        <v>9780748408153</v>
      </c>
      <c r="S3313" t="str">
        <f>"9780203484500"</f>
        <v>9780203484500</v>
      </c>
      <c r="T3313">
        <v>51940238</v>
      </c>
    </row>
    <row r="3314" spans="1:20" x14ac:dyDescent="0.25">
      <c r="A3314">
        <v>76850</v>
      </c>
      <c r="B3314" t="s">
        <v>15937</v>
      </c>
      <c r="C3314" t="s">
        <v>15938</v>
      </c>
      <c r="D3314" t="s">
        <v>15024</v>
      </c>
      <c r="E3314" t="s">
        <v>15025</v>
      </c>
      <c r="F3314">
        <v>1996</v>
      </c>
      <c r="G3314" t="s">
        <v>8580</v>
      </c>
      <c r="H3314" t="s">
        <v>15939</v>
      </c>
      <c r="I3314" t="s">
        <v>15940</v>
      </c>
      <c r="J3314" t="s">
        <v>26</v>
      </c>
      <c r="K3314" t="s">
        <v>27</v>
      </c>
      <c r="L3314" t="b">
        <v>1</v>
      </c>
      <c r="M3314" t="s">
        <v>15941</v>
      </c>
      <c r="N3314" t="str">
        <f>"615/.1901"</f>
        <v>615/.1901</v>
      </c>
      <c r="P3314" t="b">
        <v>0</v>
      </c>
      <c r="R3314" t="str">
        <f>"9780748404452"</f>
        <v>9780748404452</v>
      </c>
      <c r="S3314" t="str">
        <f>"9780203483169"</f>
        <v>9780203483169</v>
      </c>
      <c r="T3314">
        <v>51940133</v>
      </c>
    </row>
    <row r="3315" spans="1:20" x14ac:dyDescent="0.25">
      <c r="A3315">
        <v>76825</v>
      </c>
      <c r="B3315" t="s">
        <v>15942</v>
      </c>
      <c r="D3315" t="s">
        <v>15024</v>
      </c>
      <c r="E3315" t="s">
        <v>15025</v>
      </c>
      <c r="F3315">
        <v>1999</v>
      </c>
      <c r="G3315" t="s">
        <v>15742</v>
      </c>
      <c r="H3315" t="s">
        <v>15943</v>
      </c>
      <c r="I3315" t="s">
        <v>15944</v>
      </c>
      <c r="J3315" t="s">
        <v>26</v>
      </c>
      <c r="K3315" t="s">
        <v>27</v>
      </c>
      <c r="L3315" t="b">
        <v>1</v>
      </c>
      <c r="M3315" t="s">
        <v>15945</v>
      </c>
      <c r="N3315" t="str">
        <f>"579"</f>
        <v>579</v>
      </c>
      <c r="P3315" t="b">
        <v>0</v>
      </c>
      <c r="R3315" t="str">
        <f>"9780419226802"</f>
        <v>9780419226802</v>
      </c>
      <c r="S3315" t="str">
        <f>"9780203477397"</f>
        <v>9780203477397</v>
      </c>
      <c r="T3315">
        <v>51746375</v>
      </c>
    </row>
    <row r="3316" spans="1:20" x14ac:dyDescent="0.25">
      <c r="A3316">
        <v>75263</v>
      </c>
      <c r="B3316" t="s">
        <v>15946</v>
      </c>
      <c r="C3316" t="s">
        <v>15947</v>
      </c>
      <c r="D3316" t="s">
        <v>15024</v>
      </c>
      <c r="E3316" t="s">
        <v>15025</v>
      </c>
      <c r="F3316">
        <v>2001</v>
      </c>
      <c r="G3316" t="s">
        <v>8580</v>
      </c>
      <c r="H3316" t="s">
        <v>15948</v>
      </c>
      <c r="I3316" t="s">
        <v>15949</v>
      </c>
      <c r="J3316" t="s">
        <v>26</v>
      </c>
      <c r="K3316" t="s">
        <v>27</v>
      </c>
      <c r="L3316" t="b">
        <v>1</v>
      </c>
      <c r="M3316" t="s">
        <v>15950</v>
      </c>
      <c r="N3316" t="str">
        <f>"615/.7"</f>
        <v>615/.7</v>
      </c>
      <c r="P3316" t="b">
        <v>0</v>
      </c>
      <c r="R3316" t="str">
        <f>"9780748406104"</f>
        <v>9780748406104</v>
      </c>
      <c r="S3316" t="str">
        <f>"9780203483701"</f>
        <v>9780203483701</v>
      </c>
      <c r="T3316">
        <v>51427012</v>
      </c>
    </row>
    <row r="3317" spans="1:20" x14ac:dyDescent="0.25">
      <c r="A3317">
        <v>74831</v>
      </c>
      <c r="B3317" t="s">
        <v>15951</v>
      </c>
      <c r="D3317" t="s">
        <v>15024</v>
      </c>
      <c r="E3317" t="s">
        <v>15025</v>
      </c>
      <c r="F3317">
        <v>2000</v>
      </c>
      <c r="G3317" t="s">
        <v>15742</v>
      </c>
      <c r="H3317" t="s">
        <v>15952</v>
      </c>
      <c r="I3317" t="s">
        <v>15953</v>
      </c>
      <c r="J3317" t="s">
        <v>26</v>
      </c>
      <c r="K3317" t="s">
        <v>27</v>
      </c>
      <c r="L3317" t="b">
        <v>1</v>
      </c>
      <c r="M3317" t="s">
        <v>15954</v>
      </c>
      <c r="N3317" t="str">
        <f>"627/.98"</f>
        <v>627/.98</v>
      </c>
      <c r="P3317" t="b">
        <v>0</v>
      </c>
      <c r="R3317" t="str">
        <f>"9780419243205"</f>
        <v>9780419243205</v>
      </c>
      <c r="S3317" t="str">
        <f>"9780203478257"</f>
        <v>9780203478257</v>
      </c>
      <c r="T3317">
        <v>51306750</v>
      </c>
    </row>
    <row r="3318" spans="1:20" x14ac:dyDescent="0.25">
      <c r="A3318">
        <v>74830</v>
      </c>
      <c r="B3318" t="s">
        <v>15955</v>
      </c>
      <c r="D3318" t="s">
        <v>15024</v>
      </c>
      <c r="E3318" t="s">
        <v>15025</v>
      </c>
      <c r="F3318">
        <v>1997</v>
      </c>
      <c r="G3318" t="s">
        <v>15742</v>
      </c>
      <c r="H3318" t="s">
        <v>15956</v>
      </c>
      <c r="I3318" t="s">
        <v>15957</v>
      </c>
      <c r="J3318" t="s">
        <v>26</v>
      </c>
      <c r="K3318" t="s">
        <v>27</v>
      </c>
      <c r="L3318" t="b">
        <v>1</v>
      </c>
      <c r="M3318" t="s">
        <v>15958</v>
      </c>
      <c r="N3318" t="str">
        <f>"624.1/76"</f>
        <v>624.1/76</v>
      </c>
      <c r="P3318" t="b">
        <v>0</v>
      </c>
      <c r="R3318" t="str">
        <f>"9780419169307"</f>
        <v>9780419169307</v>
      </c>
      <c r="S3318" t="str">
        <f>"9780203473863"</f>
        <v>9780203473863</v>
      </c>
      <c r="T3318">
        <v>51306747</v>
      </c>
    </row>
    <row r="3319" spans="1:20" x14ac:dyDescent="0.25">
      <c r="A3319">
        <v>74612</v>
      </c>
      <c r="B3319" t="s">
        <v>15959</v>
      </c>
      <c r="C3319" t="s">
        <v>15960</v>
      </c>
      <c r="D3319" t="s">
        <v>233</v>
      </c>
      <c r="E3319" t="s">
        <v>7120</v>
      </c>
      <c r="F3319">
        <v>2000</v>
      </c>
      <c r="G3319" t="s">
        <v>4378</v>
      </c>
      <c r="H3319" t="s">
        <v>15961</v>
      </c>
      <c r="I3319" t="s">
        <v>15962</v>
      </c>
      <c r="J3319" t="s">
        <v>26</v>
      </c>
      <c r="K3319" t="s">
        <v>27</v>
      </c>
      <c r="L3319" t="b">
        <v>1</v>
      </c>
      <c r="M3319" t="s">
        <v>15963</v>
      </c>
      <c r="N3319" t="str">
        <f>"292.1/3"</f>
        <v>292.1/3</v>
      </c>
      <c r="O3319" t="s">
        <v>15964</v>
      </c>
      <c r="P3319" t="b">
        <v>0</v>
      </c>
      <c r="Q3319" t="b">
        <v>0</v>
      </c>
      <c r="R3319" t="str">
        <f>"9780231118941"</f>
        <v>9780231118941</v>
      </c>
      <c r="S3319" t="str">
        <f>"9780231518048"</f>
        <v>9780231518048</v>
      </c>
      <c r="T3319">
        <v>51311708</v>
      </c>
    </row>
    <row r="3320" spans="1:20" x14ac:dyDescent="0.25">
      <c r="A3320">
        <v>73335</v>
      </c>
      <c r="B3320" t="s">
        <v>15965</v>
      </c>
      <c r="C3320" t="s">
        <v>15966</v>
      </c>
      <c r="D3320" t="s">
        <v>15024</v>
      </c>
      <c r="E3320" t="s">
        <v>15025</v>
      </c>
      <c r="F3320">
        <v>2000</v>
      </c>
      <c r="G3320" t="s">
        <v>15742</v>
      </c>
      <c r="H3320" t="s">
        <v>15967</v>
      </c>
      <c r="I3320" t="s">
        <v>15968</v>
      </c>
      <c r="J3320" t="s">
        <v>26</v>
      </c>
      <c r="K3320" t="s">
        <v>27</v>
      </c>
      <c r="L3320" t="b">
        <v>1</v>
      </c>
      <c r="M3320" t="s">
        <v>15969</v>
      </c>
      <c r="N3320" t="str">
        <f>"624.1/93"</f>
        <v>624.1/93</v>
      </c>
      <c r="P3320" t="b">
        <v>0</v>
      </c>
      <c r="R3320" t="str">
        <f>"9780419232001"</f>
        <v>9780419232001</v>
      </c>
      <c r="S3320" t="str">
        <f>"9780203477663"</f>
        <v>9780203477663</v>
      </c>
      <c r="T3320">
        <v>51023365</v>
      </c>
    </row>
    <row r="3321" spans="1:20" x14ac:dyDescent="0.25">
      <c r="A3321">
        <v>72855</v>
      </c>
      <c r="B3321" t="s">
        <v>15970</v>
      </c>
      <c r="C3321" t="s">
        <v>15971</v>
      </c>
      <c r="D3321" t="s">
        <v>2238</v>
      </c>
      <c r="E3321" t="s">
        <v>2239</v>
      </c>
      <c r="F3321">
        <v>2000</v>
      </c>
      <c r="G3321" t="s">
        <v>2395</v>
      </c>
      <c r="H3321" t="s">
        <v>15972</v>
      </c>
      <c r="I3321" t="s">
        <v>15973</v>
      </c>
      <c r="J3321" t="s">
        <v>26</v>
      </c>
      <c r="K3321" t="s">
        <v>27</v>
      </c>
      <c r="L3321" t="b">
        <v>1</v>
      </c>
      <c r="M3321" t="s">
        <v>15974</v>
      </c>
      <c r="N3321" t="str">
        <f>"306.7/0942"</f>
        <v>306.7/0942</v>
      </c>
      <c r="P3321" t="b">
        <v>0</v>
      </c>
      <c r="S3321" t="str">
        <f>"9780203447567"</f>
        <v>9780203447567</v>
      </c>
      <c r="T3321">
        <v>50875849</v>
      </c>
    </row>
    <row r="3322" spans="1:20" x14ac:dyDescent="0.25">
      <c r="A3322">
        <v>72161</v>
      </c>
      <c r="B3322" t="s">
        <v>15975</v>
      </c>
      <c r="D3322" t="s">
        <v>2238</v>
      </c>
      <c r="E3322" t="s">
        <v>2239</v>
      </c>
      <c r="F3322">
        <v>2001</v>
      </c>
      <c r="G3322" t="s">
        <v>5459</v>
      </c>
      <c r="H3322" t="s">
        <v>15976</v>
      </c>
      <c r="I3322" t="s">
        <v>15977</v>
      </c>
      <c r="J3322" t="s">
        <v>26</v>
      </c>
      <c r="K3322" t="s">
        <v>86</v>
      </c>
      <c r="L3322" t="b">
        <v>1</v>
      </c>
      <c r="M3322" t="s">
        <v>15978</v>
      </c>
      <c r="N3322" t="str">
        <f>"460/.9"</f>
        <v>460/.9</v>
      </c>
      <c r="P3322" t="b">
        <v>0</v>
      </c>
      <c r="R3322" t="str">
        <f>"9780415180610"</f>
        <v>9780415180610</v>
      </c>
      <c r="S3322" t="str">
        <f>"9780203186053"</f>
        <v>9780203186053</v>
      </c>
      <c r="T3322">
        <v>50705392</v>
      </c>
    </row>
    <row r="3323" spans="1:20" x14ac:dyDescent="0.25">
      <c r="A3323">
        <v>71062</v>
      </c>
      <c r="B3323" t="s">
        <v>15979</v>
      </c>
      <c r="C3323" t="s">
        <v>15980</v>
      </c>
      <c r="D3323" t="s">
        <v>131</v>
      </c>
      <c r="E3323" t="s">
        <v>2389</v>
      </c>
      <c r="F3323">
        <v>2000</v>
      </c>
      <c r="G3323" t="s">
        <v>7876</v>
      </c>
      <c r="H3323" t="s">
        <v>15981</v>
      </c>
      <c r="I3323" t="s">
        <v>15982</v>
      </c>
      <c r="J3323" t="s">
        <v>26</v>
      </c>
      <c r="K3323" t="s">
        <v>86</v>
      </c>
      <c r="L3323" t="b">
        <v>1</v>
      </c>
      <c r="M3323" t="s">
        <v>15983</v>
      </c>
      <c r="N3323" t="str">
        <f>"291.4/092/2"</f>
        <v>291.4/092/2</v>
      </c>
      <c r="O3323" t="s">
        <v>15984</v>
      </c>
      <c r="P3323" t="b">
        <v>0</v>
      </c>
      <c r="R3323" t="str">
        <f>"9780823219933"</f>
        <v>9780823219933</v>
      </c>
      <c r="S3323" t="str">
        <f>"9780585416809"</f>
        <v>9780585416809</v>
      </c>
      <c r="T3323">
        <v>50649412</v>
      </c>
    </row>
    <row r="3324" spans="1:20" x14ac:dyDescent="0.25">
      <c r="A3324">
        <v>71049</v>
      </c>
      <c r="B3324" t="s">
        <v>15985</v>
      </c>
      <c r="C3324" t="s">
        <v>15986</v>
      </c>
      <c r="D3324" t="s">
        <v>131</v>
      </c>
      <c r="E3324" t="s">
        <v>2389</v>
      </c>
      <c r="F3324">
        <v>2001</v>
      </c>
      <c r="G3324" t="s">
        <v>83</v>
      </c>
      <c r="H3324" t="s">
        <v>15987</v>
      </c>
      <c r="I3324" t="s">
        <v>15988</v>
      </c>
      <c r="J3324" t="s">
        <v>26</v>
      </c>
      <c r="K3324" t="s">
        <v>86</v>
      </c>
      <c r="L3324" t="b">
        <v>1</v>
      </c>
      <c r="M3324" t="s">
        <v>15989</v>
      </c>
      <c r="N3324" t="str">
        <f>"231.7"</f>
        <v>231.7</v>
      </c>
      <c r="O3324" t="s">
        <v>2426</v>
      </c>
      <c r="P3324" t="b">
        <v>0</v>
      </c>
      <c r="R3324" t="str">
        <f>"9780823221219"</f>
        <v>9780823221219</v>
      </c>
      <c r="S3324" t="str">
        <f>"9780585416700"</f>
        <v>9780585416700</v>
      </c>
      <c r="T3324">
        <v>50952336</v>
      </c>
    </row>
    <row r="3325" spans="1:20" x14ac:dyDescent="0.25">
      <c r="A3325">
        <v>71048</v>
      </c>
      <c r="B3325" t="s">
        <v>15990</v>
      </c>
      <c r="C3325" t="s">
        <v>15991</v>
      </c>
      <c r="D3325" t="s">
        <v>131</v>
      </c>
      <c r="E3325" t="s">
        <v>2389</v>
      </c>
      <c r="F3325">
        <v>2000</v>
      </c>
      <c r="G3325" t="s">
        <v>4884</v>
      </c>
      <c r="H3325" t="s">
        <v>15992</v>
      </c>
      <c r="I3325" t="s">
        <v>15993</v>
      </c>
      <c r="J3325" t="s">
        <v>26</v>
      </c>
      <c r="K3325" t="s">
        <v>86</v>
      </c>
      <c r="L3325" t="b">
        <v>1</v>
      </c>
      <c r="M3325" t="s">
        <v>15994</v>
      </c>
      <c r="N3325" t="str">
        <f>"230/.42/092"</f>
        <v>230/.42/092</v>
      </c>
      <c r="P3325" t="b">
        <v>0</v>
      </c>
      <c r="R3325" t="str">
        <f>"9780823219902"</f>
        <v>9780823219902</v>
      </c>
      <c r="S3325" t="str">
        <f>"9780585416694"</f>
        <v>9780585416694</v>
      </c>
      <c r="T3325">
        <v>50616026</v>
      </c>
    </row>
    <row r="3326" spans="1:20" x14ac:dyDescent="0.25">
      <c r="A3326">
        <v>71047</v>
      </c>
      <c r="B3326" t="s">
        <v>15995</v>
      </c>
      <c r="C3326" t="s">
        <v>15996</v>
      </c>
      <c r="D3326" t="s">
        <v>131</v>
      </c>
      <c r="E3326" t="s">
        <v>2389</v>
      </c>
      <c r="F3326">
        <v>2001</v>
      </c>
      <c r="G3326" t="s">
        <v>83</v>
      </c>
      <c r="H3326" t="s">
        <v>15997</v>
      </c>
      <c r="I3326" t="s">
        <v>15998</v>
      </c>
      <c r="J3326" t="s">
        <v>26</v>
      </c>
      <c r="K3326" t="s">
        <v>86</v>
      </c>
      <c r="L3326" t="b">
        <v>1</v>
      </c>
      <c r="M3326" t="s">
        <v>15999</v>
      </c>
      <c r="N3326" t="str">
        <f>"230/.01"</f>
        <v>230/.01</v>
      </c>
      <c r="O3326" t="s">
        <v>2426</v>
      </c>
      <c r="P3326" t="b">
        <v>0</v>
      </c>
      <c r="R3326" t="str">
        <f>"9780823221301"</f>
        <v>9780823221301</v>
      </c>
      <c r="S3326" t="str">
        <f>"9780585416687"</f>
        <v>9780585416687</v>
      </c>
      <c r="T3326">
        <v>50488762</v>
      </c>
    </row>
    <row r="3327" spans="1:20" x14ac:dyDescent="0.25">
      <c r="A3327">
        <v>71046</v>
      </c>
      <c r="B3327" t="s">
        <v>16000</v>
      </c>
      <c r="D3327" t="s">
        <v>131</v>
      </c>
      <c r="E3327" t="s">
        <v>2389</v>
      </c>
      <c r="F3327">
        <v>2000</v>
      </c>
      <c r="G3327" t="s">
        <v>4483</v>
      </c>
      <c r="H3327" t="s">
        <v>16001</v>
      </c>
      <c r="I3327" t="s">
        <v>16002</v>
      </c>
      <c r="J3327" t="s">
        <v>26</v>
      </c>
      <c r="K3327" t="s">
        <v>86</v>
      </c>
      <c r="L3327" t="b">
        <v>1</v>
      </c>
      <c r="M3327" t="s">
        <v>16003</v>
      </c>
      <c r="N3327" t="str">
        <f>"943.086"</f>
        <v>943.086</v>
      </c>
      <c r="O3327" t="s">
        <v>2426</v>
      </c>
      <c r="P3327" t="b">
        <v>0</v>
      </c>
      <c r="R3327" t="str">
        <f>"9780823220687"</f>
        <v>9780823220687</v>
      </c>
      <c r="S3327" t="str">
        <f>"9780585416670"</f>
        <v>9780585416670</v>
      </c>
      <c r="T3327">
        <v>50615978</v>
      </c>
    </row>
    <row r="3328" spans="1:20" x14ac:dyDescent="0.25">
      <c r="A3328">
        <v>70735</v>
      </c>
      <c r="B3328" t="s">
        <v>16004</v>
      </c>
      <c r="C3328" t="s">
        <v>16005</v>
      </c>
      <c r="D3328" t="s">
        <v>2238</v>
      </c>
      <c r="E3328" t="s">
        <v>2239</v>
      </c>
      <c r="F3328">
        <v>1999</v>
      </c>
      <c r="G3328" t="s">
        <v>37</v>
      </c>
      <c r="H3328" t="s">
        <v>16006</v>
      </c>
      <c r="J3328" t="s">
        <v>26</v>
      </c>
      <c r="K3328" t="s">
        <v>27</v>
      </c>
      <c r="L3328" t="b">
        <v>1</v>
      </c>
      <c r="M3328" t="s">
        <v>16007</v>
      </c>
      <c r="N3328" t="str">
        <f>"941.5"</f>
        <v>941.5</v>
      </c>
      <c r="P3328" t="b">
        <v>1</v>
      </c>
      <c r="R3328" t="str">
        <f>"9780203005613"</f>
        <v>9780203005613</v>
      </c>
      <c r="S3328" t="str">
        <f>"9780203263808"</f>
        <v>9780203263808</v>
      </c>
      <c r="T3328">
        <v>50296596</v>
      </c>
    </row>
    <row r="3329" spans="1:20" x14ac:dyDescent="0.25">
      <c r="A3329">
        <v>70734</v>
      </c>
      <c r="B3329" t="s">
        <v>16008</v>
      </c>
      <c r="C3329" t="s">
        <v>16009</v>
      </c>
      <c r="D3329" t="s">
        <v>2238</v>
      </c>
      <c r="E3329" t="s">
        <v>2239</v>
      </c>
      <c r="F3329">
        <v>1999</v>
      </c>
      <c r="G3329" t="s">
        <v>4753</v>
      </c>
      <c r="H3329" t="s">
        <v>16010</v>
      </c>
      <c r="I3329" t="s">
        <v>16011</v>
      </c>
      <c r="J3329" t="s">
        <v>26</v>
      </c>
      <c r="K3329" t="s">
        <v>27</v>
      </c>
      <c r="L3329" t="b">
        <v>1</v>
      </c>
      <c r="M3329" t="s">
        <v>16012</v>
      </c>
      <c r="N3329" t="str">
        <f>"305.38/896395"</f>
        <v>305.38/896395</v>
      </c>
      <c r="P3329" t="b">
        <v>0</v>
      </c>
      <c r="R3329" t="str">
        <f>"9780203004869"</f>
        <v>9780203004869</v>
      </c>
      <c r="S3329" t="str">
        <f>"9780203272763"</f>
        <v>9780203272763</v>
      </c>
      <c r="T3329">
        <v>50296579</v>
      </c>
    </row>
    <row r="3330" spans="1:20" x14ac:dyDescent="0.25">
      <c r="A3330">
        <v>70617</v>
      </c>
      <c r="B3330" t="s">
        <v>16013</v>
      </c>
      <c r="C3330" t="s">
        <v>15752</v>
      </c>
      <c r="D3330" t="s">
        <v>15024</v>
      </c>
      <c r="E3330" t="s">
        <v>15025</v>
      </c>
      <c r="F3330">
        <v>2000</v>
      </c>
      <c r="G3330" t="s">
        <v>16014</v>
      </c>
      <c r="H3330" t="s">
        <v>16015</v>
      </c>
      <c r="I3330" t="s">
        <v>16016</v>
      </c>
      <c r="J3330" t="s">
        <v>26</v>
      </c>
      <c r="K3330" t="s">
        <v>27</v>
      </c>
      <c r="L3330" t="b">
        <v>1</v>
      </c>
      <c r="M3330" t="s">
        <v>16017</v>
      </c>
      <c r="N3330" t="str">
        <f>"624/.252"</f>
        <v>624/.252</v>
      </c>
      <c r="P3330" t="b">
        <v>0</v>
      </c>
      <c r="R3330" t="str">
        <f>"9780419246008"</f>
        <v>9780419246008</v>
      </c>
      <c r="S3330" t="str">
        <f>"9780203185926"</f>
        <v>9780203185926</v>
      </c>
      <c r="T3330">
        <v>51250293</v>
      </c>
    </row>
    <row r="3331" spans="1:20" x14ac:dyDescent="0.25">
      <c r="A3331">
        <v>70500</v>
      </c>
      <c r="B3331" t="s">
        <v>16018</v>
      </c>
      <c r="D3331" t="s">
        <v>2238</v>
      </c>
      <c r="E3331" t="s">
        <v>2239</v>
      </c>
      <c r="F3331">
        <v>2002</v>
      </c>
      <c r="G3331" t="s">
        <v>4108</v>
      </c>
      <c r="H3331" t="s">
        <v>16019</v>
      </c>
      <c r="I3331" t="s">
        <v>16020</v>
      </c>
      <c r="J3331" t="s">
        <v>26</v>
      </c>
      <c r="K3331" t="s">
        <v>27</v>
      </c>
      <c r="L3331" t="b">
        <v>1</v>
      </c>
      <c r="M3331" t="s">
        <v>16021</v>
      </c>
      <c r="N3331" t="str">
        <f>"936.1"</f>
        <v>936.1</v>
      </c>
      <c r="P3331" t="b">
        <v>0</v>
      </c>
      <c r="S3331" t="str">
        <f>"9780203254776"</f>
        <v>9780203254776</v>
      </c>
      <c r="T3331">
        <v>50553498</v>
      </c>
    </row>
    <row r="3332" spans="1:20" x14ac:dyDescent="0.25">
      <c r="A3332">
        <v>70463</v>
      </c>
      <c r="B3332" t="s">
        <v>16022</v>
      </c>
      <c r="C3332" t="s">
        <v>16023</v>
      </c>
      <c r="D3332" t="s">
        <v>2238</v>
      </c>
      <c r="E3332" t="s">
        <v>2239</v>
      </c>
      <c r="F3332">
        <v>2002</v>
      </c>
      <c r="G3332" t="s">
        <v>182</v>
      </c>
      <c r="H3332" t="s">
        <v>16024</v>
      </c>
      <c r="J3332" t="s">
        <v>26</v>
      </c>
      <c r="K3332" t="s">
        <v>27</v>
      </c>
      <c r="L3332" t="b">
        <v>1</v>
      </c>
      <c r="M3332" t="s">
        <v>16025</v>
      </c>
      <c r="N3332" t="str">
        <f>"306/.0946"</f>
        <v>306/.0946</v>
      </c>
      <c r="O3332" t="s">
        <v>16026</v>
      </c>
      <c r="P3332" t="b">
        <v>0</v>
      </c>
      <c r="R3332" t="str">
        <f>"9780203026434"</f>
        <v>9780203026434</v>
      </c>
      <c r="S3332" t="str">
        <f>"9780203255148"</f>
        <v>9780203255148</v>
      </c>
      <c r="T3332">
        <v>50553473</v>
      </c>
    </row>
    <row r="3333" spans="1:20" x14ac:dyDescent="0.25">
      <c r="A3333">
        <v>70451</v>
      </c>
      <c r="B3333" t="s">
        <v>16027</v>
      </c>
      <c r="D3333" t="s">
        <v>2238</v>
      </c>
      <c r="E3333" t="s">
        <v>2239</v>
      </c>
      <c r="F3333">
        <v>2002</v>
      </c>
      <c r="G3333" t="s">
        <v>1094</v>
      </c>
      <c r="H3333" t="s">
        <v>16028</v>
      </c>
      <c r="I3333" t="s">
        <v>16029</v>
      </c>
      <c r="J3333" t="s">
        <v>26</v>
      </c>
      <c r="K3333" t="s">
        <v>27</v>
      </c>
      <c r="L3333" t="b">
        <v>1</v>
      </c>
      <c r="M3333" t="s">
        <v>16030</v>
      </c>
      <c r="N3333" t="str">
        <f>"363.7/0576"</f>
        <v>363.7/0576</v>
      </c>
      <c r="P3333" t="b">
        <v>0</v>
      </c>
      <c r="R3333" t="str">
        <f>"9780203010686"</f>
        <v>9780203010686</v>
      </c>
      <c r="S3333" t="str">
        <f>"9780203263464"</f>
        <v>9780203263464</v>
      </c>
      <c r="T3333">
        <v>50553468</v>
      </c>
    </row>
    <row r="3334" spans="1:20" x14ac:dyDescent="0.25">
      <c r="A3334">
        <v>70441</v>
      </c>
      <c r="B3334" t="s">
        <v>16031</v>
      </c>
      <c r="C3334" t="s">
        <v>16032</v>
      </c>
      <c r="D3334" t="s">
        <v>2238</v>
      </c>
      <c r="E3334" t="s">
        <v>2239</v>
      </c>
      <c r="F3334">
        <v>1998</v>
      </c>
      <c r="G3334" t="s">
        <v>4108</v>
      </c>
      <c r="H3334" t="s">
        <v>16033</v>
      </c>
      <c r="I3334" t="s">
        <v>16034</v>
      </c>
      <c r="J3334" t="s">
        <v>26</v>
      </c>
      <c r="K3334" t="s">
        <v>27</v>
      </c>
      <c r="L3334" t="b">
        <v>1</v>
      </c>
      <c r="M3334" t="s">
        <v>16035</v>
      </c>
      <c r="N3334" t="str">
        <f>"956/.01"</f>
        <v>956/.01</v>
      </c>
      <c r="P3334" t="b">
        <v>0</v>
      </c>
      <c r="R3334" t="str">
        <f>"9780203029817"</f>
        <v>9780203029817</v>
      </c>
      <c r="S3334" t="str">
        <f>"9780203259320"</f>
        <v>9780203259320</v>
      </c>
      <c r="T3334">
        <v>50304264</v>
      </c>
    </row>
    <row r="3335" spans="1:20" x14ac:dyDescent="0.25">
      <c r="A3335">
        <v>70434</v>
      </c>
      <c r="B3335" t="s">
        <v>16036</v>
      </c>
      <c r="C3335" t="s">
        <v>16037</v>
      </c>
      <c r="D3335" t="s">
        <v>2238</v>
      </c>
      <c r="E3335" t="s">
        <v>2239</v>
      </c>
      <c r="F3335">
        <v>2002</v>
      </c>
      <c r="G3335" t="s">
        <v>1016</v>
      </c>
      <c r="H3335" t="s">
        <v>16038</v>
      </c>
      <c r="I3335" t="s">
        <v>16039</v>
      </c>
      <c r="J3335" t="s">
        <v>26</v>
      </c>
      <c r="K3335" t="s">
        <v>27</v>
      </c>
      <c r="L3335" t="b">
        <v>1</v>
      </c>
      <c r="M3335" t="s">
        <v>16040</v>
      </c>
      <c r="N3335" t="str">
        <f>"371.3/5"</f>
        <v>371.3/5</v>
      </c>
      <c r="O3335" t="s">
        <v>16041</v>
      </c>
      <c r="P3335" t="b">
        <v>0</v>
      </c>
      <c r="R3335" t="str">
        <f>"9780203016862"</f>
        <v>9780203016862</v>
      </c>
      <c r="S3335" t="str">
        <f>"9780203260234"</f>
        <v>9780203260234</v>
      </c>
      <c r="T3335">
        <v>50553457</v>
      </c>
    </row>
    <row r="3336" spans="1:20" x14ac:dyDescent="0.25">
      <c r="A3336">
        <v>70403</v>
      </c>
      <c r="B3336" t="s">
        <v>16042</v>
      </c>
      <c r="D3336" t="s">
        <v>2238</v>
      </c>
      <c r="E3336" t="s">
        <v>2239</v>
      </c>
      <c r="F3336">
        <v>2002</v>
      </c>
      <c r="G3336" t="s">
        <v>7671</v>
      </c>
      <c r="H3336" t="s">
        <v>16043</v>
      </c>
      <c r="I3336" t="s">
        <v>16044</v>
      </c>
      <c r="J3336" t="s">
        <v>26</v>
      </c>
      <c r="K3336" t="s">
        <v>27</v>
      </c>
      <c r="L3336" t="b">
        <v>1</v>
      </c>
      <c r="M3336" t="s">
        <v>16045</v>
      </c>
      <c r="N3336" t="str">
        <f>"937/.0072022"</f>
        <v>937/.0072022</v>
      </c>
      <c r="P3336" t="b">
        <v>0</v>
      </c>
      <c r="S3336" t="str">
        <f>"9780203294420"</f>
        <v>9780203294420</v>
      </c>
      <c r="T3336">
        <v>50553430</v>
      </c>
    </row>
    <row r="3337" spans="1:20" x14ac:dyDescent="0.25">
      <c r="A3337">
        <v>70374</v>
      </c>
      <c r="B3337" t="s">
        <v>16046</v>
      </c>
      <c r="D3337" t="s">
        <v>2238</v>
      </c>
      <c r="E3337" t="s">
        <v>2239</v>
      </c>
      <c r="F3337">
        <v>2002</v>
      </c>
      <c r="G3337" t="s">
        <v>1649</v>
      </c>
      <c r="H3337" t="s">
        <v>16047</v>
      </c>
      <c r="I3337" t="s">
        <v>16048</v>
      </c>
      <c r="J3337" t="s">
        <v>26</v>
      </c>
      <c r="K3337" t="s">
        <v>48</v>
      </c>
      <c r="L3337" t="b">
        <v>1</v>
      </c>
      <c r="M3337" t="s">
        <v>16049</v>
      </c>
      <c r="N3337" t="str">
        <f>"341"</f>
        <v>341</v>
      </c>
      <c r="P3337" t="b">
        <v>0</v>
      </c>
      <c r="R3337" t="str">
        <f>"9780203427712"</f>
        <v>9780203427712</v>
      </c>
      <c r="S3337" t="str">
        <f>"9780203297278"</f>
        <v>9780203297278</v>
      </c>
      <c r="T3337">
        <v>50553404</v>
      </c>
    </row>
    <row r="3338" spans="1:20" x14ac:dyDescent="0.25">
      <c r="A3338">
        <v>70337</v>
      </c>
      <c r="B3338" t="s">
        <v>16050</v>
      </c>
      <c r="D3338" t="s">
        <v>2238</v>
      </c>
      <c r="E3338" t="s">
        <v>15758</v>
      </c>
      <c r="F3338">
        <v>2000</v>
      </c>
      <c r="G3338" t="s">
        <v>16051</v>
      </c>
      <c r="H3338" t="s">
        <v>16052</v>
      </c>
      <c r="I3338" t="s">
        <v>16053</v>
      </c>
      <c r="J3338" t="s">
        <v>26</v>
      </c>
      <c r="K3338" t="s">
        <v>27</v>
      </c>
      <c r="L3338" t="b">
        <v>1</v>
      </c>
      <c r="M3338" t="s">
        <v>16054</v>
      </c>
      <c r="N3338" t="str">
        <f>"181"</f>
        <v>181</v>
      </c>
      <c r="O3338" t="s">
        <v>15648</v>
      </c>
      <c r="P3338" t="b">
        <v>0</v>
      </c>
      <c r="S3338" t="str">
        <f>"9780203005408"</f>
        <v>9780203005408</v>
      </c>
      <c r="T3338">
        <v>50493529</v>
      </c>
    </row>
    <row r="3339" spans="1:20" x14ac:dyDescent="0.25">
      <c r="A3339">
        <v>70304</v>
      </c>
      <c r="B3339" t="s">
        <v>16055</v>
      </c>
      <c r="D3339" t="s">
        <v>2238</v>
      </c>
      <c r="E3339" t="s">
        <v>2239</v>
      </c>
      <c r="F3339">
        <v>2002</v>
      </c>
      <c r="G3339" t="s">
        <v>1016</v>
      </c>
      <c r="H3339" t="s">
        <v>16056</v>
      </c>
      <c r="I3339" t="s">
        <v>16057</v>
      </c>
      <c r="J3339" t="s">
        <v>26</v>
      </c>
      <c r="K3339" t="s">
        <v>27</v>
      </c>
      <c r="L3339" t="b">
        <v>1</v>
      </c>
      <c r="M3339" t="s">
        <v>16058</v>
      </c>
      <c r="N3339" t="str">
        <f>"428.4/076"</f>
        <v>428.4/076</v>
      </c>
      <c r="P3339" t="b">
        <v>0</v>
      </c>
      <c r="R3339" t="str">
        <f>"9780203019641"</f>
        <v>9780203019641</v>
      </c>
      <c r="S3339" t="str">
        <f>"9780203279519"</f>
        <v>9780203279519</v>
      </c>
      <c r="T3339">
        <v>50553348</v>
      </c>
    </row>
    <row r="3340" spans="1:20" x14ac:dyDescent="0.25">
      <c r="A3340">
        <v>69234</v>
      </c>
      <c r="B3340" t="s">
        <v>16059</v>
      </c>
      <c r="C3340" t="s">
        <v>16060</v>
      </c>
      <c r="D3340" t="s">
        <v>2238</v>
      </c>
      <c r="E3340" t="s">
        <v>2239</v>
      </c>
      <c r="F3340">
        <v>2002</v>
      </c>
      <c r="G3340" t="s">
        <v>4108</v>
      </c>
      <c r="H3340" t="s">
        <v>16061</v>
      </c>
      <c r="I3340" t="s">
        <v>16062</v>
      </c>
      <c r="J3340" t="s">
        <v>26</v>
      </c>
      <c r="K3340" t="s">
        <v>27</v>
      </c>
      <c r="L3340" t="b">
        <v>1</v>
      </c>
      <c r="M3340" t="s">
        <v>16063</v>
      </c>
      <c r="P3340" t="b">
        <v>0</v>
      </c>
      <c r="R3340" t="str">
        <f>"9780203039847"</f>
        <v>9780203039847</v>
      </c>
      <c r="S3340" t="str">
        <f>"9780203264300"</f>
        <v>9780203264300</v>
      </c>
      <c r="T3340">
        <v>50321015</v>
      </c>
    </row>
    <row r="3341" spans="1:20" x14ac:dyDescent="0.25">
      <c r="A3341">
        <v>69153</v>
      </c>
      <c r="B3341" t="s">
        <v>16064</v>
      </c>
      <c r="C3341" t="s">
        <v>16065</v>
      </c>
      <c r="D3341" t="s">
        <v>10310</v>
      </c>
      <c r="E3341" t="s">
        <v>10310</v>
      </c>
      <c r="F3341">
        <v>2002</v>
      </c>
      <c r="G3341" t="s">
        <v>1550</v>
      </c>
      <c r="H3341" t="s">
        <v>16066</v>
      </c>
      <c r="I3341" t="s">
        <v>16067</v>
      </c>
      <c r="J3341" t="s">
        <v>26</v>
      </c>
      <c r="K3341" t="s">
        <v>27</v>
      </c>
      <c r="L3341" t="b">
        <v>1</v>
      </c>
      <c r="M3341" t="s">
        <v>16068</v>
      </c>
      <c r="N3341" t="str">
        <f>"378.1/6912/0922"</f>
        <v>378.1/6912/0922</v>
      </c>
      <c r="O3341" t="s">
        <v>16069</v>
      </c>
      <c r="P3341" t="b">
        <v>0</v>
      </c>
      <c r="R3341" t="str">
        <f>"9780826513915"</f>
        <v>9780826513915</v>
      </c>
      <c r="S3341" t="str">
        <f>"9780585408040"</f>
        <v>9780585408040</v>
      </c>
      <c r="T3341">
        <v>50321396</v>
      </c>
    </row>
    <row r="3342" spans="1:20" x14ac:dyDescent="0.25">
      <c r="A3342">
        <v>69152</v>
      </c>
      <c r="B3342" t="s">
        <v>16070</v>
      </c>
      <c r="C3342" t="s">
        <v>16071</v>
      </c>
      <c r="D3342" t="s">
        <v>10310</v>
      </c>
      <c r="E3342" t="s">
        <v>10310</v>
      </c>
      <c r="F3342">
        <v>2002</v>
      </c>
      <c r="G3342" t="s">
        <v>6742</v>
      </c>
      <c r="H3342" t="s">
        <v>16072</v>
      </c>
      <c r="I3342" t="s">
        <v>16073</v>
      </c>
      <c r="J3342" t="s">
        <v>26</v>
      </c>
      <c r="K3342" t="s">
        <v>27</v>
      </c>
      <c r="L3342" t="b">
        <v>1</v>
      </c>
      <c r="M3342" t="s">
        <v>16074</v>
      </c>
      <c r="N3342" t="str">
        <f>"110/.92"</f>
        <v>110/.92</v>
      </c>
      <c r="O3342" t="s">
        <v>16075</v>
      </c>
      <c r="P3342" t="b">
        <v>0</v>
      </c>
      <c r="R3342" t="str">
        <f>"9780826513960"</f>
        <v>9780826513960</v>
      </c>
      <c r="S3342" t="str">
        <f>"9780585407739"</f>
        <v>9780585407739</v>
      </c>
      <c r="T3342">
        <v>50321361</v>
      </c>
    </row>
    <row r="3343" spans="1:20" x14ac:dyDescent="0.25">
      <c r="A3343">
        <v>69151</v>
      </c>
      <c r="B3343" t="s">
        <v>16076</v>
      </c>
      <c r="C3343" t="s">
        <v>16077</v>
      </c>
      <c r="D3343" t="s">
        <v>10310</v>
      </c>
      <c r="E3343" t="s">
        <v>10310</v>
      </c>
      <c r="F3343">
        <v>2001</v>
      </c>
      <c r="G3343" t="s">
        <v>7435</v>
      </c>
      <c r="H3343" t="s">
        <v>16078</v>
      </c>
      <c r="I3343" t="s">
        <v>16079</v>
      </c>
      <c r="J3343" t="s">
        <v>26</v>
      </c>
      <c r="K3343" t="s">
        <v>27</v>
      </c>
      <c r="L3343" t="b">
        <v>1</v>
      </c>
      <c r="M3343" t="s">
        <v>10593</v>
      </c>
      <c r="N3343" t="str">
        <f>"362.29/67/0973"</f>
        <v>362.29/67/0973</v>
      </c>
      <c r="P3343" t="b">
        <v>0</v>
      </c>
      <c r="R3343" t="str">
        <f>"9780826513908"</f>
        <v>9780826513908</v>
      </c>
      <c r="S3343" t="str">
        <f>"9780585407890"</f>
        <v>9780585407890</v>
      </c>
      <c r="T3343">
        <v>50321331</v>
      </c>
    </row>
    <row r="3344" spans="1:20" x14ac:dyDescent="0.25">
      <c r="A3344">
        <v>69150</v>
      </c>
      <c r="B3344" t="s">
        <v>16080</v>
      </c>
      <c r="C3344" t="s">
        <v>16081</v>
      </c>
      <c r="D3344" t="s">
        <v>10310</v>
      </c>
      <c r="E3344" t="s">
        <v>10310</v>
      </c>
      <c r="F3344">
        <v>2001</v>
      </c>
      <c r="G3344" t="s">
        <v>4483</v>
      </c>
      <c r="H3344" t="s">
        <v>16082</v>
      </c>
      <c r="I3344" t="s">
        <v>16083</v>
      </c>
      <c r="J3344" t="s">
        <v>26</v>
      </c>
      <c r="K3344" t="s">
        <v>27</v>
      </c>
      <c r="L3344" t="b">
        <v>1</v>
      </c>
      <c r="M3344" t="s">
        <v>16084</v>
      </c>
      <c r="N3344" t="str">
        <f>"191"</f>
        <v>191</v>
      </c>
      <c r="O3344" t="s">
        <v>15218</v>
      </c>
      <c r="P3344" t="b">
        <v>0</v>
      </c>
      <c r="R3344" t="str">
        <f>"9780826513663"</f>
        <v>9780826513663</v>
      </c>
      <c r="S3344" t="str">
        <f>"9780585407722"</f>
        <v>9780585407722</v>
      </c>
      <c r="T3344">
        <v>50321299</v>
      </c>
    </row>
    <row r="3345" spans="1:20" x14ac:dyDescent="0.25">
      <c r="A3345">
        <v>69149</v>
      </c>
      <c r="B3345" t="s">
        <v>16085</v>
      </c>
      <c r="C3345" t="s">
        <v>16086</v>
      </c>
      <c r="D3345" t="s">
        <v>10310</v>
      </c>
      <c r="E3345" t="s">
        <v>10310</v>
      </c>
      <c r="F3345">
        <v>2001</v>
      </c>
      <c r="G3345" t="s">
        <v>1550</v>
      </c>
      <c r="H3345" t="s">
        <v>16087</v>
      </c>
      <c r="I3345" t="s">
        <v>16088</v>
      </c>
      <c r="J3345" t="s">
        <v>26</v>
      </c>
      <c r="K3345" t="s">
        <v>27</v>
      </c>
      <c r="L3345" t="b">
        <v>1</v>
      </c>
      <c r="M3345" t="s">
        <v>16089</v>
      </c>
      <c r="N3345" t="str">
        <f>"378.1/99"</f>
        <v>378.1/99</v>
      </c>
      <c r="O3345" t="s">
        <v>16069</v>
      </c>
      <c r="P3345" t="b">
        <v>0</v>
      </c>
      <c r="R3345" t="str">
        <f>"9780826513670"</f>
        <v>9780826513670</v>
      </c>
      <c r="S3345" t="str">
        <f>"9780585407883"</f>
        <v>9780585407883</v>
      </c>
      <c r="T3345">
        <v>50321262</v>
      </c>
    </row>
    <row r="3346" spans="1:20" x14ac:dyDescent="0.25">
      <c r="A3346">
        <v>69148</v>
      </c>
      <c r="B3346" t="s">
        <v>16090</v>
      </c>
      <c r="C3346" t="s">
        <v>16091</v>
      </c>
      <c r="D3346" t="s">
        <v>10310</v>
      </c>
      <c r="E3346" t="s">
        <v>10310</v>
      </c>
      <c r="F3346">
        <v>2001</v>
      </c>
      <c r="G3346" t="s">
        <v>2417</v>
      </c>
      <c r="H3346" t="s">
        <v>16092</v>
      </c>
      <c r="I3346" t="s">
        <v>16093</v>
      </c>
      <c r="J3346" t="s">
        <v>26</v>
      </c>
      <c r="K3346" t="s">
        <v>27</v>
      </c>
      <c r="L3346" t="b">
        <v>1</v>
      </c>
      <c r="M3346" t="s">
        <v>16094</v>
      </c>
      <c r="N3346" t="str">
        <f>"813/.4;B"</f>
        <v>813/.4;B</v>
      </c>
      <c r="P3346" t="b">
        <v>0</v>
      </c>
      <c r="R3346" t="str">
        <f>"9780826513540"</f>
        <v>9780826513540</v>
      </c>
      <c r="S3346" t="str">
        <f>"9780585407715"</f>
        <v>9780585407715</v>
      </c>
      <c r="T3346">
        <v>50321212</v>
      </c>
    </row>
    <row r="3347" spans="1:20" x14ac:dyDescent="0.25">
      <c r="A3347">
        <v>69147</v>
      </c>
      <c r="B3347" t="s">
        <v>16095</v>
      </c>
      <c r="C3347" t="s">
        <v>16096</v>
      </c>
      <c r="D3347" t="s">
        <v>10310</v>
      </c>
      <c r="E3347" t="s">
        <v>10310</v>
      </c>
      <c r="F3347">
        <v>2002</v>
      </c>
      <c r="G3347" t="s">
        <v>5469</v>
      </c>
      <c r="H3347" t="s">
        <v>16097</v>
      </c>
      <c r="I3347" t="s">
        <v>16098</v>
      </c>
      <c r="J3347" t="s">
        <v>26</v>
      </c>
      <c r="K3347" t="s">
        <v>27</v>
      </c>
      <c r="L3347" t="b">
        <v>1</v>
      </c>
      <c r="M3347" t="s">
        <v>16099</v>
      </c>
      <c r="N3347" t="str">
        <f>"868/.6209"</f>
        <v>868/.6209</v>
      </c>
      <c r="P3347" t="b">
        <v>0</v>
      </c>
      <c r="R3347" t="str">
        <f>"9780826514073"</f>
        <v>9780826514073</v>
      </c>
      <c r="S3347" t="str">
        <f>"9780585408033"</f>
        <v>9780585408033</v>
      </c>
      <c r="T3347">
        <v>50321177</v>
      </c>
    </row>
    <row r="3348" spans="1:20" x14ac:dyDescent="0.25">
      <c r="A3348">
        <v>69144</v>
      </c>
      <c r="B3348" t="s">
        <v>16100</v>
      </c>
      <c r="C3348" t="s">
        <v>16101</v>
      </c>
      <c r="D3348" t="s">
        <v>10310</v>
      </c>
      <c r="E3348" t="s">
        <v>10310</v>
      </c>
      <c r="F3348">
        <v>2002</v>
      </c>
      <c r="G3348" t="s">
        <v>804</v>
      </c>
      <c r="H3348" t="s">
        <v>16102</v>
      </c>
      <c r="I3348" t="s">
        <v>16103</v>
      </c>
      <c r="J3348" t="s">
        <v>26</v>
      </c>
      <c r="K3348" t="s">
        <v>27</v>
      </c>
      <c r="L3348" t="b">
        <v>1</v>
      </c>
      <c r="M3348" t="s">
        <v>16104</v>
      </c>
      <c r="N3348" t="str">
        <f>"306.3/6"</f>
        <v>306.3/6</v>
      </c>
      <c r="P3348" t="b">
        <v>0</v>
      </c>
      <c r="R3348" t="str">
        <f>"9780826513977"</f>
        <v>9780826513977</v>
      </c>
      <c r="S3348" t="str">
        <f>"9780585408019"</f>
        <v>9780585408019</v>
      </c>
      <c r="T3348">
        <v>50321100</v>
      </c>
    </row>
    <row r="3349" spans="1:20" x14ac:dyDescent="0.25">
      <c r="A3349">
        <v>69142</v>
      </c>
      <c r="B3349" t="s">
        <v>16105</v>
      </c>
      <c r="D3349" t="s">
        <v>10310</v>
      </c>
      <c r="E3349" t="s">
        <v>10310</v>
      </c>
      <c r="F3349">
        <v>2002</v>
      </c>
      <c r="G3349" t="s">
        <v>4483</v>
      </c>
      <c r="H3349" t="s">
        <v>16106</v>
      </c>
      <c r="J3349" t="s">
        <v>26</v>
      </c>
      <c r="K3349" t="s">
        <v>27</v>
      </c>
      <c r="L3349" t="b">
        <v>1</v>
      </c>
      <c r="M3349" t="s">
        <v>16107</v>
      </c>
      <c r="N3349" t="str">
        <f>"191"</f>
        <v>191</v>
      </c>
      <c r="O3349" t="s">
        <v>15218</v>
      </c>
      <c r="P3349" t="b">
        <v>0</v>
      </c>
      <c r="R3349" t="str">
        <f>"9780826513878"</f>
        <v>9780826513878</v>
      </c>
      <c r="S3349" t="str">
        <f>"9780585407876"</f>
        <v>9780585407876</v>
      </c>
      <c r="T3349">
        <v>50321039</v>
      </c>
    </row>
    <row r="3350" spans="1:20" x14ac:dyDescent="0.25">
      <c r="A3350">
        <v>69141</v>
      </c>
      <c r="B3350" t="s">
        <v>16108</v>
      </c>
      <c r="C3350" t="s">
        <v>16109</v>
      </c>
      <c r="D3350" t="s">
        <v>10310</v>
      </c>
      <c r="E3350" t="s">
        <v>10310</v>
      </c>
      <c r="F3350">
        <v>2002</v>
      </c>
      <c r="G3350" t="s">
        <v>4286</v>
      </c>
      <c r="H3350" t="s">
        <v>16110</v>
      </c>
      <c r="J3350" t="s">
        <v>26</v>
      </c>
      <c r="K3350" t="s">
        <v>27</v>
      </c>
      <c r="L3350" t="b">
        <v>1</v>
      </c>
      <c r="M3350" t="s">
        <v>16111</v>
      </c>
      <c r="N3350" t="str">
        <f>"160/.92"</f>
        <v>160/.92</v>
      </c>
      <c r="O3350" t="s">
        <v>15218</v>
      </c>
      <c r="P3350" t="b">
        <v>0</v>
      </c>
      <c r="R3350" t="str">
        <f>"9780826513687"</f>
        <v>9780826513687</v>
      </c>
      <c r="S3350" t="str">
        <f>"9780585407869"</f>
        <v>9780585407869</v>
      </c>
      <c r="T3350">
        <v>50320987</v>
      </c>
    </row>
    <row r="3351" spans="1:20" x14ac:dyDescent="0.25">
      <c r="A3351">
        <v>69140</v>
      </c>
      <c r="B3351" t="s">
        <v>16112</v>
      </c>
      <c r="C3351" t="s">
        <v>16113</v>
      </c>
      <c r="D3351" t="s">
        <v>10310</v>
      </c>
      <c r="E3351" t="s">
        <v>10310</v>
      </c>
      <c r="F3351">
        <v>2002</v>
      </c>
      <c r="G3351" t="s">
        <v>16114</v>
      </c>
      <c r="H3351" t="s">
        <v>16115</v>
      </c>
      <c r="I3351" t="s">
        <v>16116</v>
      </c>
      <c r="J3351" t="s">
        <v>26</v>
      </c>
      <c r="K3351" t="s">
        <v>27</v>
      </c>
      <c r="L3351" t="b">
        <v>1</v>
      </c>
      <c r="M3351" t="s">
        <v>16117</v>
      </c>
      <c r="N3351" t="str">
        <f>"379.2/63/09763"</f>
        <v>379.2/63/09763</v>
      </c>
      <c r="P3351" t="b">
        <v>0</v>
      </c>
      <c r="R3351" t="str">
        <f>"9780826513885"</f>
        <v>9780826513885</v>
      </c>
      <c r="S3351" t="str">
        <f>"9780585407852"</f>
        <v>9780585407852</v>
      </c>
      <c r="T3351">
        <v>50320949</v>
      </c>
    </row>
    <row r="3352" spans="1:20" x14ac:dyDescent="0.25">
      <c r="A3352">
        <v>69125</v>
      </c>
      <c r="B3352" t="s">
        <v>16118</v>
      </c>
      <c r="C3352" t="s">
        <v>16119</v>
      </c>
      <c r="D3352" t="s">
        <v>2238</v>
      </c>
      <c r="E3352" t="s">
        <v>2239</v>
      </c>
      <c r="F3352">
        <v>2002</v>
      </c>
      <c r="G3352" t="s">
        <v>23</v>
      </c>
      <c r="H3352" t="s">
        <v>16120</v>
      </c>
      <c r="I3352" t="s">
        <v>16121</v>
      </c>
      <c r="J3352" t="s">
        <v>26</v>
      </c>
      <c r="K3352" t="s">
        <v>27</v>
      </c>
      <c r="L3352" t="b">
        <v>1</v>
      </c>
      <c r="M3352" t="s">
        <v>16122</v>
      </c>
      <c r="N3352" t="str">
        <f>"150.19/5"</f>
        <v>150.19/5</v>
      </c>
      <c r="P3352" t="b">
        <v>0</v>
      </c>
      <c r="R3352" t="str">
        <f>"9780203049129"</f>
        <v>9780203049129</v>
      </c>
      <c r="S3352" t="str">
        <f>"9780203310595"</f>
        <v>9780203310595</v>
      </c>
      <c r="T3352">
        <v>50321994</v>
      </c>
    </row>
    <row r="3353" spans="1:20" x14ac:dyDescent="0.25">
      <c r="A3353">
        <v>68887</v>
      </c>
      <c r="B3353" t="s">
        <v>16123</v>
      </c>
      <c r="D3353" t="s">
        <v>2238</v>
      </c>
      <c r="E3353" t="s">
        <v>2239</v>
      </c>
      <c r="F3353">
        <v>2002</v>
      </c>
      <c r="G3353" t="s">
        <v>2321</v>
      </c>
      <c r="H3353" t="s">
        <v>16124</v>
      </c>
      <c r="I3353" t="s">
        <v>16125</v>
      </c>
      <c r="J3353" t="s">
        <v>26</v>
      </c>
      <c r="K3353" t="s">
        <v>27</v>
      </c>
      <c r="L3353" t="b">
        <v>1</v>
      </c>
      <c r="M3353" t="s">
        <v>16126</v>
      </c>
      <c r="N3353" t="str">
        <f>"720/.1/03"</f>
        <v>720/.1/03</v>
      </c>
      <c r="O3353" t="s">
        <v>16127</v>
      </c>
      <c r="P3353" t="b">
        <v>0</v>
      </c>
      <c r="S3353" t="str">
        <f>"9780203299012"</f>
        <v>9780203299012</v>
      </c>
      <c r="T3353">
        <v>50321905</v>
      </c>
    </row>
    <row r="3354" spans="1:20" x14ac:dyDescent="0.25">
      <c r="A3354">
        <v>68880</v>
      </c>
      <c r="B3354" t="s">
        <v>16128</v>
      </c>
      <c r="D3354" t="s">
        <v>2238</v>
      </c>
      <c r="E3354" t="s">
        <v>2239</v>
      </c>
      <c r="F3354">
        <v>2002</v>
      </c>
      <c r="G3354" t="s">
        <v>182</v>
      </c>
      <c r="H3354" t="s">
        <v>16129</v>
      </c>
      <c r="J3354" t="s">
        <v>26</v>
      </c>
      <c r="K3354" t="s">
        <v>27</v>
      </c>
      <c r="L3354" t="b">
        <v>1</v>
      </c>
      <c r="M3354" t="s">
        <v>16130</v>
      </c>
      <c r="N3354" t="str">
        <f>"941.06"</f>
        <v>941.06</v>
      </c>
      <c r="P3354" t="b">
        <v>0</v>
      </c>
      <c r="R3354" t="str">
        <f>"9780203067017"</f>
        <v>9780203067017</v>
      </c>
      <c r="S3354" t="str">
        <f>"9780203255308"</f>
        <v>9780203255308</v>
      </c>
      <c r="T3354">
        <v>50321686</v>
      </c>
    </row>
    <row r="3355" spans="1:20" x14ac:dyDescent="0.25">
      <c r="A3355">
        <v>68839</v>
      </c>
      <c r="B3355" t="s">
        <v>16131</v>
      </c>
      <c r="D3355" t="s">
        <v>2238</v>
      </c>
      <c r="E3355" t="s">
        <v>2239</v>
      </c>
      <c r="F3355">
        <v>2002</v>
      </c>
      <c r="G3355" t="s">
        <v>2321</v>
      </c>
      <c r="H3355" t="s">
        <v>16132</v>
      </c>
      <c r="I3355" t="s">
        <v>16133</v>
      </c>
      <c r="J3355" t="s">
        <v>26</v>
      </c>
      <c r="K3355" t="s">
        <v>27</v>
      </c>
      <c r="L3355" t="b">
        <v>1</v>
      </c>
      <c r="M3355" t="s">
        <v>16134</v>
      </c>
      <c r="N3355" t="str">
        <f>"332.1/095"</f>
        <v>332.1/095</v>
      </c>
      <c r="O3355" t="s">
        <v>16135</v>
      </c>
      <c r="P3355" t="b">
        <v>0</v>
      </c>
      <c r="R3355" t="str">
        <f>"9780203013922"</f>
        <v>9780203013922</v>
      </c>
      <c r="S3355" t="str">
        <f>"9780203254479"</f>
        <v>9780203254479</v>
      </c>
      <c r="T3355">
        <v>50321850</v>
      </c>
    </row>
    <row r="3356" spans="1:20" x14ac:dyDescent="0.25">
      <c r="A3356">
        <v>68627</v>
      </c>
      <c r="B3356" t="s">
        <v>16136</v>
      </c>
      <c r="C3356" t="s">
        <v>16137</v>
      </c>
      <c r="D3356" t="s">
        <v>2238</v>
      </c>
      <c r="E3356" t="s">
        <v>2239</v>
      </c>
      <c r="F3356">
        <v>2002</v>
      </c>
      <c r="G3356" t="s">
        <v>172</v>
      </c>
      <c r="H3356" t="s">
        <v>16138</v>
      </c>
      <c r="I3356" t="s">
        <v>16139</v>
      </c>
      <c r="J3356" t="s">
        <v>26</v>
      </c>
      <c r="K3356" t="s">
        <v>27</v>
      </c>
      <c r="L3356" t="b">
        <v>1</v>
      </c>
      <c r="M3356" t="s">
        <v>16140</v>
      </c>
      <c r="N3356" t="str">
        <f>"338.7"</f>
        <v>338.7</v>
      </c>
      <c r="P3356" t="b">
        <v>0</v>
      </c>
      <c r="S3356" t="str">
        <f>"9780203264973"</f>
        <v>9780203264973</v>
      </c>
      <c r="T3356">
        <v>50322069</v>
      </c>
    </row>
    <row r="3357" spans="1:20" x14ac:dyDescent="0.25">
      <c r="A3357">
        <v>68621</v>
      </c>
      <c r="B3357" t="s">
        <v>16141</v>
      </c>
      <c r="C3357" t="s">
        <v>16142</v>
      </c>
      <c r="D3357" t="s">
        <v>2238</v>
      </c>
      <c r="E3357" t="s">
        <v>2239</v>
      </c>
      <c r="F3357">
        <v>2002</v>
      </c>
      <c r="G3357" t="s">
        <v>1094</v>
      </c>
      <c r="H3357" t="s">
        <v>16143</v>
      </c>
      <c r="I3357" t="s">
        <v>16144</v>
      </c>
      <c r="J3357" t="s">
        <v>26</v>
      </c>
      <c r="K3357" t="s">
        <v>27</v>
      </c>
      <c r="L3357" t="b">
        <v>1</v>
      </c>
      <c r="M3357" t="s">
        <v>16145</v>
      </c>
      <c r="N3357" t="str">
        <f>"305.242/0941"</f>
        <v>305.242/0941</v>
      </c>
      <c r="O3357" t="s">
        <v>16146</v>
      </c>
      <c r="P3357" t="b">
        <v>0</v>
      </c>
      <c r="S3357" t="str">
        <f>"9780203257357"</f>
        <v>9780203257357</v>
      </c>
      <c r="T3357">
        <v>50321848</v>
      </c>
    </row>
    <row r="3358" spans="1:20" x14ac:dyDescent="0.25">
      <c r="A3358">
        <v>68596</v>
      </c>
      <c r="B3358" t="s">
        <v>16147</v>
      </c>
      <c r="C3358" t="s">
        <v>16148</v>
      </c>
      <c r="D3358" t="s">
        <v>2238</v>
      </c>
      <c r="E3358" t="s">
        <v>2239</v>
      </c>
      <c r="F3358">
        <v>2002</v>
      </c>
      <c r="G3358" t="s">
        <v>172</v>
      </c>
      <c r="H3358" t="s">
        <v>16149</v>
      </c>
      <c r="I3358" t="s">
        <v>16150</v>
      </c>
      <c r="J3358" t="s">
        <v>26</v>
      </c>
      <c r="K3358" t="s">
        <v>27</v>
      </c>
      <c r="L3358" t="b">
        <v>1</v>
      </c>
      <c r="M3358" t="s">
        <v>16151</v>
      </c>
      <c r="N3358" t="str">
        <f>"303.48/33"</f>
        <v>303.48/33</v>
      </c>
      <c r="O3358" t="s">
        <v>16152</v>
      </c>
      <c r="P3358" t="b">
        <v>0</v>
      </c>
      <c r="S3358" t="str">
        <f>"9780203261040"</f>
        <v>9780203261040</v>
      </c>
      <c r="T3358">
        <v>50321021</v>
      </c>
    </row>
    <row r="3359" spans="1:20" x14ac:dyDescent="0.25">
      <c r="A3359">
        <v>68584</v>
      </c>
      <c r="B3359" t="s">
        <v>16153</v>
      </c>
      <c r="C3359" t="s">
        <v>16154</v>
      </c>
      <c r="D3359" t="s">
        <v>2238</v>
      </c>
      <c r="E3359" t="s">
        <v>2239</v>
      </c>
      <c r="F3359">
        <v>2002</v>
      </c>
      <c r="G3359" t="s">
        <v>4108</v>
      </c>
      <c r="H3359" t="s">
        <v>16155</v>
      </c>
      <c r="I3359" t="s">
        <v>16156</v>
      </c>
      <c r="J3359" t="s">
        <v>26</v>
      </c>
      <c r="K3359" t="s">
        <v>27</v>
      </c>
      <c r="L3359" t="b">
        <v>1</v>
      </c>
      <c r="M3359" t="s">
        <v>16157</v>
      </c>
      <c r="N3359" t="str">
        <f>"306"</f>
        <v>306</v>
      </c>
      <c r="P3359" t="b">
        <v>0</v>
      </c>
      <c r="R3359" t="str">
        <f>"9780203030547"</f>
        <v>9780203030547</v>
      </c>
      <c r="S3359" t="str">
        <f>"9780203258071"</f>
        <v>9780203258071</v>
      </c>
      <c r="T3359">
        <v>50322289</v>
      </c>
    </row>
    <row r="3360" spans="1:20" x14ac:dyDescent="0.25">
      <c r="A3360">
        <v>68576</v>
      </c>
      <c r="B3360" t="s">
        <v>16158</v>
      </c>
      <c r="C3360" t="s">
        <v>16159</v>
      </c>
      <c r="D3360" t="s">
        <v>233</v>
      </c>
      <c r="E3360" t="s">
        <v>7120</v>
      </c>
      <c r="F3360">
        <v>2000</v>
      </c>
      <c r="G3360" t="s">
        <v>1586</v>
      </c>
      <c r="H3360" t="s">
        <v>16160</v>
      </c>
      <c r="I3360" t="s">
        <v>16161</v>
      </c>
      <c r="J3360" t="s">
        <v>26</v>
      </c>
      <c r="K3360" t="s">
        <v>27</v>
      </c>
      <c r="L3360" t="b">
        <v>1</v>
      </c>
      <c r="M3360" t="s">
        <v>16162</v>
      </c>
      <c r="N3360" t="str">
        <f>"324.7/3/0973"</f>
        <v>324.7/3/0973</v>
      </c>
      <c r="P3360" t="b">
        <v>0</v>
      </c>
      <c r="Q3360" t="b">
        <v>0</v>
      </c>
      <c r="R3360" t="str">
        <f>"9780231114004"</f>
        <v>9780231114004</v>
      </c>
      <c r="S3360" t="str">
        <f>"9780231502696"</f>
        <v>9780231502696</v>
      </c>
      <c r="T3360">
        <v>50175533</v>
      </c>
    </row>
    <row r="3361" spans="1:20" x14ac:dyDescent="0.25">
      <c r="A3361">
        <v>68284</v>
      </c>
      <c r="B3361" t="s">
        <v>16163</v>
      </c>
      <c r="D3361" t="s">
        <v>2238</v>
      </c>
      <c r="E3361" t="s">
        <v>2239</v>
      </c>
      <c r="F3361">
        <v>2002</v>
      </c>
      <c r="G3361" t="s">
        <v>23</v>
      </c>
      <c r="H3361" t="s">
        <v>16164</v>
      </c>
      <c r="I3361" t="s">
        <v>16165</v>
      </c>
      <c r="J3361" t="s">
        <v>26</v>
      </c>
      <c r="K3361" t="s">
        <v>27</v>
      </c>
      <c r="L3361" t="b">
        <v>1</v>
      </c>
      <c r="M3361" t="s">
        <v>16166</v>
      </c>
      <c r="N3361" t="str">
        <f>"341.2"</f>
        <v>341.2</v>
      </c>
      <c r="O3361" t="s">
        <v>16167</v>
      </c>
      <c r="P3361" t="b">
        <v>0</v>
      </c>
      <c r="S3361" t="str">
        <f>"9780203315774"</f>
        <v>9780203315774</v>
      </c>
      <c r="T3361">
        <v>50175422</v>
      </c>
    </row>
    <row r="3362" spans="1:20" x14ac:dyDescent="0.25">
      <c r="A3362">
        <v>68272</v>
      </c>
      <c r="B3362" t="s">
        <v>16168</v>
      </c>
      <c r="C3362" t="s">
        <v>16169</v>
      </c>
      <c r="D3362" t="s">
        <v>2238</v>
      </c>
      <c r="E3362" t="s">
        <v>2239</v>
      </c>
      <c r="F3362">
        <v>2002</v>
      </c>
      <c r="G3362" t="s">
        <v>172</v>
      </c>
      <c r="H3362" t="s">
        <v>16170</v>
      </c>
      <c r="I3362" t="s">
        <v>9474</v>
      </c>
      <c r="J3362" t="s">
        <v>26</v>
      </c>
      <c r="K3362" t="s">
        <v>27</v>
      </c>
      <c r="L3362" t="b">
        <v>1</v>
      </c>
      <c r="M3362" t="s">
        <v>16171</v>
      </c>
      <c r="N3362" t="str">
        <f>"658.4/038"</f>
        <v>658.4/038</v>
      </c>
      <c r="O3362" t="s">
        <v>16152</v>
      </c>
      <c r="P3362" t="b">
        <v>0</v>
      </c>
      <c r="R3362" t="str">
        <f>"9780203064368"</f>
        <v>9780203064368</v>
      </c>
      <c r="S3362" t="str">
        <f>"9780203257821"</f>
        <v>9780203257821</v>
      </c>
      <c r="T3362">
        <v>50321061</v>
      </c>
    </row>
    <row r="3363" spans="1:20" x14ac:dyDescent="0.25">
      <c r="A3363">
        <v>68021</v>
      </c>
      <c r="B3363" t="s">
        <v>16172</v>
      </c>
      <c r="C3363" t="s">
        <v>16173</v>
      </c>
      <c r="D3363" t="s">
        <v>2238</v>
      </c>
      <c r="E3363" t="s">
        <v>2239</v>
      </c>
      <c r="F3363">
        <v>2002</v>
      </c>
      <c r="G3363" t="s">
        <v>1649</v>
      </c>
      <c r="H3363" t="s">
        <v>16174</v>
      </c>
      <c r="J3363" t="s">
        <v>26</v>
      </c>
      <c r="K3363" t="s">
        <v>27</v>
      </c>
      <c r="L3363" t="b">
        <v>1</v>
      </c>
      <c r="M3363" t="s">
        <v>16175</v>
      </c>
      <c r="N3363" t="str">
        <f>"324.24107/09/048"</f>
        <v>324.24107/09/048</v>
      </c>
      <c r="P3363" t="b">
        <v>0</v>
      </c>
      <c r="R3363" t="str">
        <f>"9780203211663"</f>
        <v>9780203211663</v>
      </c>
      <c r="S3363" t="str">
        <f>"9780203318089"</f>
        <v>9780203318089</v>
      </c>
      <c r="T3363">
        <v>50175342</v>
      </c>
    </row>
    <row r="3364" spans="1:20" x14ac:dyDescent="0.25">
      <c r="A3364">
        <v>68010</v>
      </c>
      <c r="B3364" t="s">
        <v>16176</v>
      </c>
      <c r="C3364" t="s">
        <v>1619</v>
      </c>
      <c r="D3364" t="s">
        <v>2238</v>
      </c>
      <c r="E3364" t="s">
        <v>2239</v>
      </c>
      <c r="F3364">
        <v>2002</v>
      </c>
      <c r="G3364" t="s">
        <v>4092</v>
      </c>
      <c r="H3364" t="s">
        <v>16177</v>
      </c>
      <c r="I3364" t="s">
        <v>16178</v>
      </c>
      <c r="J3364" t="s">
        <v>26</v>
      </c>
      <c r="K3364" t="s">
        <v>27</v>
      </c>
      <c r="L3364" t="b">
        <v>1</v>
      </c>
      <c r="M3364" t="s">
        <v>16179</v>
      </c>
      <c r="N3364" t="str">
        <f>"361.948"</f>
        <v>361.948</v>
      </c>
      <c r="P3364" t="b">
        <v>0</v>
      </c>
      <c r="S3364" t="str">
        <f>"9780203254349"</f>
        <v>9780203254349</v>
      </c>
      <c r="T3364">
        <v>50322400</v>
      </c>
    </row>
    <row r="3365" spans="1:20" x14ac:dyDescent="0.25">
      <c r="A3365">
        <v>67995</v>
      </c>
      <c r="B3365" t="s">
        <v>16180</v>
      </c>
      <c r="C3365" t="s">
        <v>16181</v>
      </c>
      <c r="D3365" t="s">
        <v>2238</v>
      </c>
      <c r="E3365" t="s">
        <v>2239</v>
      </c>
      <c r="F3365">
        <v>2002</v>
      </c>
      <c r="G3365" t="s">
        <v>571</v>
      </c>
      <c r="H3365" t="s">
        <v>16182</v>
      </c>
      <c r="I3365" t="s">
        <v>16183</v>
      </c>
      <c r="J3365" t="s">
        <v>26</v>
      </c>
      <c r="K3365" t="s">
        <v>27</v>
      </c>
      <c r="L3365" t="b">
        <v>1</v>
      </c>
      <c r="M3365" t="s">
        <v>16184</v>
      </c>
      <c r="N3365" t="str">
        <f>"306.4/812/0941"</f>
        <v>306.4/812/0941</v>
      </c>
      <c r="O3365" t="s">
        <v>16185</v>
      </c>
      <c r="P3365" t="b">
        <v>0</v>
      </c>
      <c r="S3365" t="str">
        <f>"9780203325698"</f>
        <v>9780203325698</v>
      </c>
      <c r="T3365">
        <v>50175319</v>
      </c>
    </row>
    <row r="3366" spans="1:20" x14ac:dyDescent="0.25">
      <c r="A3366">
        <v>67994</v>
      </c>
      <c r="B3366" t="s">
        <v>16186</v>
      </c>
      <c r="C3366" t="s">
        <v>16187</v>
      </c>
      <c r="D3366" t="s">
        <v>2238</v>
      </c>
      <c r="E3366" t="s">
        <v>2239</v>
      </c>
      <c r="F3366">
        <v>1996</v>
      </c>
      <c r="G3366" t="s">
        <v>23</v>
      </c>
      <c r="H3366" t="s">
        <v>16188</v>
      </c>
      <c r="I3366" t="s">
        <v>16189</v>
      </c>
      <c r="J3366" t="s">
        <v>26</v>
      </c>
      <c r="K3366" t="s">
        <v>27</v>
      </c>
      <c r="L3366" t="b">
        <v>1</v>
      </c>
      <c r="M3366" t="s">
        <v>8130</v>
      </c>
      <c r="N3366" t="str">
        <f>"170/.42"</f>
        <v>170/.42</v>
      </c>
      <c r="P3366" t="b">
        <v>0</v>
      </c>
      <c r="T3366">
        <v>50493424</v>
      </c>
    </row>
    <row r="3367" spans="1:20" x14ac:dyDescent="0.25">
      <c r="A3367">
        <v>60859</v>
      </c>
      <c r="B3367" t="s">
        <v>16190</v>
      </c>
      <c r="D3367" t="s">
        <v>15024</v>
      </c>
      <c r="E3367" t="s">
        <v>15025</v>
      </c>
      <c r="F3367">
        <v>2000</v>
      </c>
      <c r="G3367" t="s">
        <v>11242</v>
      </c>
      <c r="H3367" t="s">
        <v>16191</v>
      </c>
      <c r="I3367" t="s">
        <v>16192</v>
      </c>
      <c r="J3367" t="s">
        <v>26</v>
      </c>
      <c r="K3367" t="s">
        <v>27</v>
      </c>
      <c r="L3367" t="b">
        <v>1</v>
      </c>
      <c r="M3367" t="s">
        <v>16193</v>
      </c>
      <c r="N3367" t="str">
        <f>"658.3/14"</f>
        <v>658.3/14</v>
      </c>
      <c r="P3367" t="b">
        <v>0</v>
      </c>
      <c r="R3367" t="str">
        <f>"9780419236900"</f>
        <v>9780419236900</v>
      </c>
      <c r="S3367" t="str">
        <f>"9780203159736"</f>
        <v>9780203159736</v>
      </c>
      <c r="T3367">
        <v>48138848</v>
      </c>
    </row>
    <row r="3368" spans="1:20" x14ac:dyDescent="0.25">
      <c r="A3368">
        <v>60778</v>
      </c>
      <c r="B3368" t="s">
        <v>16194</v>
      </c>
      <c r="C3368" t="s">
        <v>15468</v>
      </c>
      <c r="D3368" t="s">
        <v>2238</v>
      </c>
      <c r="E3368" t="s">
        <v>2239</v>
      </c>
      <c r="F3368">
        <v>2000</v>
      </c>
      <c r="G3368" t="s">
        <v>1649</v>
      </c>
      <c r="H3368" t="s">
        <v>16195</v>
      </c>
      <c r="I3368" t="s">
        <v>16196</v>
      </c>
      <c r="J3368" t="s">
        <v>26</v>
      </c>
      <c r="K3368" t="s">
        <v>48</v>
      </c>
      <c r="L3368" t="b">
        <v>1</v>
      </c>
      <c r="M3368" t="s">
        <v>16197</v>
      </c>
      <c r="N3368" t="str">
        <f>"320"</f>
        <v>320</v>
      </c>
      <c r="P3368" t="b">
        <v>0</v>
      </c>
      <c r="R3368" t="str">
        <f>"9780415194624"</f>
        <v>9780415194624</v>
      </c>
      <c r="S3368" t="str">
        <f>"9780203158524"</f>
        <v>9780203158524</v>
      </c>
      <c r="T3368">
        <v>48139192</v>
      </c>
    </row>
    <row r="3369" spans="1:20" x14ac:dyDescent="0.25">
      <c r="A3369">
        <v>60769</v>
      </c>
      <c r="B3369" t="s">
        <v>16198</v>
      </c>
      <c r="C3369" t="s">
        <v>16199</v>
      </c>
      <c r="D3369" t="s">
        <v>2238</v>
      </c>
      <c r="E3369" t="s">
        <v>2239</v>
      </c>
      <c r="F3369">
        <v>1999</v>
      </c>
      <c r="G3369" t="s">
        <v>197</v>
      </c>
      <c r="H3369" t="s">
        <v>16200</v>
      </c>
      <c r="I3369" t="s">
        <v>16201</v>
      </c>
      <c r="J3369" t="s">
        <v>26</v>
      </c>
      <c r="K3369" t="s">
        <v>27</v>
      </c>
      <c r="L3369" t="b">
        <v>1</v>
      </c>
      <c r="M3369" t="s">
        <v>16202</v>
      </c>
      <c r="N3369" t="str">
        <f>"792.9/5"</f>
        <v>792.9/5</v>
      </c>
      <c r="P3369" t="b">
        <v>0</v>
      </c>
      <c r="S3369" t="str">
        <f>"9780203159835"</f>
        <v>9780203159835</v>
      </c>
      <c r="T3369">
        <v>48138951</v>
      </c>
    </row>
    <row r="3370" spans="1:20" x14ac:dyDescent="0.25">
      <c r="A3370">
        <v>60728</v>
      </c>
      <c r="B3370" t="s">
        <v>6906</v>
      </c>
      <c r="C3370" t="s">
        <v>16203</v>
      </c>
      <c r="D3370" t="s">
        <v>2238</v>
      </c>
      <c r="E3370" t="s">
        <v>2239</v>
      </c>
      <c r="F3370">
        <v>2000</v>
      </c>
      <c r="G3370" t="s">
        <v>9266</v>
      </c>
      <c r="H3370" t="s">
        <v>16204</v>
      </c>
      <c r="I3370" t="s">
        <v>16205</v>
      </c>
      <c r="J3370" t="s">
        <v>26</v>
      </c>
      <c r="K3370" t="s">
        <v>27</v>
      </c>
      <c r="L3370" t="b">
        <v>1</v>
      </c>
      <c r="M3370" t="s">
        <v>16206</v>
      </c>
      <c r="N3370" t="str">
        <f>"616.89/14"</f>
        <v>616.89/14</v>
      </c>
      <c r="P3370" t="b">
        <v>0</v>
      </c>
      <c r="S3370" t="str">
        <f>"9780203170595"</f>
        <v>9780203170595</v>
      </c>
      <c r="T3370">
        <v>48139914</v>
      </c>
    </row>
    <row r="3371" spans="1:20" x14ac:dyDescent="0.25">
      <c r="A3371">
        <v>60594</v>
      </c>
      <c r="B3371" t="s">
        <v>16207</v>
      </c>
      <c r="D3371" t="s">
        <v>15024</v>
      </c>
      <c r="E3371" t="s">
        <v>15025</v>
      </c>
      <c r="F3371">
        <v>1999</v>
      </c>
      <c r="G3371" t="s">
        <v>15742</v>
      </c>
      <c r="H3371" t="s">
        <v>16208</v>
      </c>
      <c r="I3371" t="s">
        <v>16209</v>
      </c>
      <c r="J3371" t="s">
        <v>26</v>
      </c>
      <c r="K3371" t="s">
        <v>27</v>
      </c>
      <c r="L3371" t="b">
        <v>1</v>
      </c>
      <c r="M3371" t="s">
        <v>16210</v>
      </c>
      <c r="N3371" t="str">
        <f>"628.1/61"</f>
        <v>628.1/61</v>
      </c>
      <c r="P3371" t="b">
        <v>0</v>
      </c>
      <c r="R3371" t="str">
        <f>"9780419243601"</f>
        <v>9780419243601</v>
      </c>
      <c r="S3371" t="str">
        <f>"9780203170106"</f>
        <v>9780203170106</v>
      </c>
      <c r="T3371">
        <v>50482155</v>
      </c>
    </row>
    <row r="3372" spans="1:20" x14ac:dyDescent="0.25">
      <c r="A3372">
        <v>60592</v>
      </c>
      <c r="B3372" t="s">
        <v>16211</v>
      </c>
      <c r="D3372" t="s">
        <v>15024</v>
      </c>
      <c r="E3372" t="s">
        <v>15025</v>
      </c>
      <c r="F3372">
        <v>1999</v>
      </c>
      <c r="G3372" t="s">
        <v>15742</v>
      </c>
      <c r="H3372" t="s">
        <v>16212</v>
      </c>
      <c r="I3372" t="s">
        <v>16213</v>
      </c>
      <c r="J3372" t="s">
        <v>26</v>
      </c>
      <c r="K3372" t="s">
        <v>27</v>
      </c>
      <c r="L3372" t="b">
        <v>1</v>
      </c>
      <c r="M3372" t="s">
        <v>16214</v>
      </c>
      <c r="N3372" t="str">
        <f>"666/.893"</f>
        <v>666/.893</v>
      </c>
      <c r="P3372" t="b">
        <v>0</v>
      </c>
      <c r="R3372" t="str">
        <f>"9780419225201"</f>
        <v>9780419225201</v>
      </c>
      <c r="S3372" t="str">
        <f>"9780203169834"</f>
        <v>9780203169834</v>
      </c>
      <c r="T3372">
        <v>49569349</v>
      </c>
    </row>
    <row r="3373" spans="1:20" x14ac:dyDescent="0.25">
      <c r="A3373">
        <v>60558</v>
      </c>
      <c r="B3373" t="s">
        <v>16215</v>
      </c>
      <c r="C3373" t="s">
        <v>16216</v>
      </c>
      <c r="D3373" t="s">
        <v>2238</v>
      </c>
      <c r="E3373" t="s">
        <v>2239</v>
      </c>
      <c r="F3373">
        <v>1999</v>
      </c>
      <c r="G3373" t="s">
        <v>571</v>
      </c>
      <c r="H3373" t="s">
        <v>16217</v>
      </c>
      <c r="I3373" t="s">
        <v>16218</v>
      </c>
      <c r="J3373" t="s">
        <v>26</v>
      </c>
      <c r="K3373" t="s">
        <v>27</v>
      </c>
      <c r="L3373" t="b">
        <v>1</v>
      </c>
      <c r="M3373" t="s">
        <v>16219</v>
      </c>
      <c r="N3373" t="str">
        <f>"306.4/83"</f>
        <v>306.4/83</v>
      </c>
      <c r="P3373" t="b">
        <v>0</v>
      </c>
      <c r="S3373" t="str">
        <f>"9780203159569"</f>
        <v>9780203159569</v>
      </c>
      <c r="T3373">
        <v>48139068</v>
      </c>
    </row>
    <row r="3374" spans="1:20" x14ac:dyDescent="0.25">
      <c r="A3374">
        <v>50524</v>
      </c>
      <c r="B3374" t="s">
        <v>16220</v>
      </c>
      <c r="C3374" t="s">
        <v>16221</v>
      </c>
      <c r="D3374" t="s">
        <v>16222</v>
      </c>
      <c r="E3374" t="s">
        <v>16223</v>
      </c>
      <c r="F3374">
        <v>1996</v>
      </c>
      <c r="G3374" t="s">
        <v>242</v>
      </c>
      <c r="H3374" t="s">
        <v>16224</v>
      </c>
      <c r="I3374" t="s">
        <v>16225</v>
      </c>
      <c r="J3374" t="s">
        <v>26</v>
      </c>
      <c r="K3374" t="s">
        <v>27</v>
      </c>
      <c r="L3374" t="b">
        <v>1</v>
      </c>
      <c r="M3374" t="s">
        <v>16226</v>
      </c>
      <c r="N3374" t="str">
        <f>"286/.1/092;B"</f>
        <v>286/.1/092;B</v>
      </c>
      <c r="O3374" t="s">
        <v>16227</v>
      </c>
      <c r="P3374" t="b">
        <v>0</v>
      </c>
      <c r="R3374" t="str">
        <f>"9780813119854"</f>
        <v>9780813119854</v>
      </c>
      <c r="S3374" t="str">
        <f>"9780813170626"</f>
        <v>9780813170626</v>
      </c>
      <c r="T3374">
        <v>47011359</v>
      </c>
    </row>
    <row r="3375" spans="1:20" x14ac:dyDescent="0.25">
      <c r="A3375">
        <v>45363</v>
      </c>
      <c r="B3375" t="s">
        <v>16228</v>
      </c>
      <c r="C3375" t="s">
        <v>16229</v>
      </c>
      <c r="D3375" t="s">
        <v>16230</v>
      </c>
      <c r="E3375" t="s">
        <v>16230</v>
      </c>
      <c r="F3375">
        <v>1993</v>
      </c>
      <c r="G3375" t="s">
        <v>394</v>
      </c>
      <c r="H3375" t="s">
        <v>16231</v>
      </c>
      <c r="I3375" t="s">
        <v>16232</v>
      </c>
      <c r="J3375" t="s">
        <v>26</v>
      </c>
      <c r="K3375" t="s">
        <v>27</v>
      </c>
      <c r="L3375" t="b">
        <v>1</v>
      </c>
      <c r="M3375" t="s">
        <v>16233</v>
      </c>
      <c r="N3375" t="str">
        <f>"621.5/1"</f>
        <v>621.5/1</v>
      </c>
      <c r="P3375" t="b">
        <v>0</v>
      </c>
      <c r="R3375" t="str">
        <f>"9780881731453"</f>
        <v>9780881731453</v>
      </c>
      <c r="S3375" t="str">
        <f>"9780585373430"</f>
        <v>9780585373430</v>
      </c>
      <c r="T3375">
        <v>48139834</v>
      </c>
    </row>
    <row r="3376" spans="1:20" x14ac:dyDescent="0.25">
      <c r="A3376">
        <v>45351</v>
      </c>
      <c r="B3376" t="s">
        <v>16234</v>
      </c>
      <c r="C3376" t="s">
        <v>16235</v>
      </c>
      <c r="D3376" t="s">
        <v>16236</v>
      </c>
      <c r="E3376" t="s">
        <v>16236</v>
      </c>
      <c r="F3376">
        <v>1982</v>
      </c>
      <c r="G3376" t="s">
        <v>16237</v>
      </c>
      <c r="H3376" t="s">
        <v>16238</v>
      </c>
      <c r="I3376" t="s">
        <v>16239</v>
      </c>
      <c r="J3376" t="s">
        <v>26</v>
      </c>
      <c r="K3376" t="s">
        <v>27</v>
      </c>
      <c r="L3376" t="b">
        <v>1</v>
      </c>
      <c r="M3376" t="s">
        <v>16240</v>
      </c>
      <c r="N3376" t="str">
        <f>"529"</f>
        <v>529</v>
      </c>
      <c r="P3376" t="b">
        <v>0</v>
      </c>
      <c r="R3376" t="str">
        <f>"9780710805003"</f>
        <v>9780710805003</v>
      </c>
      <c r="S3376" t="str">
        <f>"9780585338903"</f>
        <v>9780585338903</v>
      </c>
      <c r="T3376">
        <v>45885641</v>
      </c>
    </row>
    <row r="3377" spans="1:20" x14ac:dyDescent="0.25">
      <c r="A3377">
        <v>44940</v>
      </c>
      <c r="B3377" t="s">
        <v>16241</v>
      </c>
      <c r="D3377" t="s">
        <v>16230</v>
      </c>
      <c r="E3377" t="s">
        <v>16230</v>
      </c>
      <c r="F3377">
        <v>1996</v>
      </c>
      <c r="G3377" t="s">
        <v>394</v>
      </c>
      <c r="H3377" t="s">
        <v>16242</v>
      </c>
      <c r="I3377" t="s">
        <v>16243</v>
      </c>
      <c r="J3377" t="s">
        <v>26</v>
      </c>
      <c r="K3377" t="s">
        <v>27</v>
      </c>
      <c r="L3377" t="b">
        <v>1</v>
      </c>
      <c r="M3377" t="s">
        <v>16244</v>
      </c>
      <c r="N3377" t="str">
        <f>"621.1/83"</f>
        <v>621.1/83</v>
      </c>
      <c r="P3377" t="b">
        <v>0</v>
      </c>
      <c r="R3377" t="str">
        <f>"9780881732221"</f>
        <v>9780881732221</v>
      </c>
      <c r="S3377" t="str">
        <f>"9780585317410"</f>
        <v>9780585317410</v>
      </c>
      <c r="T3377">
        <v>45729759</v>
      </c>
    </row>
    <row r="3378" spans="1:20" x14ac:dyDescent="0.25">
      <c r="A3378">
        <v>42412</v>
      </c>
      <c r="B3378" t="s">
        <v>16245</v>
      </c>
      <c r="C3378" t="s">
        <v>16246</v>
      </c>
      <c r="D3378" t="s">
        <v>7324</v>
      </c>
      <c r="E3378" t="s">
        <v>7324</v>
      </c>
      <c r="F3378">
        <v>1985</v>
      </c>
      <c r="G3378" t="s">
        <v>5398</v>
      </c>
      <c r="H3378" t="s">
        <v>16247</v>
      </c>
      <c r="I3378" t="s">
        <v>16248</v>
      </c>
      <c r="J3378" t="s">
        <v>26</v>
      </c>
      <c r="K3378" t="s">
        <v>27</v>
      </c>
      <c r="L3378" t="b">
        <v>1</v>
      </c>
      <c r="M3378" t="s">
        <v>16249</v>
      </c>
      <c r="N3378" t="str">
        <f>"365/.6/0979461"</f>
        <v>365/.6/0979461</v>
      </c>
      <c r="P3378" t="b">
        <v>0</v>
      </c>
      <c r="R3378" t="str">
        <f>"9780520060326"</f>
        <v>9780520060326</v>
      </c>
      <c r="S3378" t="str">
        <f>"9780520908406"</f>
        <v>9780520908406</v>
      </c>
      <c r="T3378">
        <v>45730728</v>
      </c>
    </row>
    <row r="3379" spans="1:20" x14ac:dyDescent="0.25">
      <c r="A3379">
        <v>42214</v>
      </c>
      <c r="B3379" t="s">
        <v>16250</v>
      </c>
      <c r="D3379" t="s">
        <v>13082</v>
      </c>
      <c r="E3379" t="s">
        <v>16251</v>
      </c>
      <c r="F3379">
        <v>1996</v>
      </c>
      <c r="G3379" t="s">
        <v>13084</v>
      </c>
      <c r="H3379" t="s">
        <v>16252</v>
      </c>
      <c r="I3379" t="s">
        <v>16253</v>
      </c>
      <c r="J3379" t="s">
        <v>26</v>
      </c>
      <c r="K3379" t="s">
        <v>27</v>
      </c>
      <c r="L3379" t="b">
        <v>1</v>
      </c>
      <c r="M3379" t="s">
        <v>16254</v>
      </c>
      <c r="N3379" t="str">
        <f>"370.15/23"</f>
        <v>370.15/23</v>
      </c>
      <c r="P3379" t="b">
        <v>0</v>
      </c>
      <c r="Q3379" t="b">
        <v>0</v>
      </c>
      <c r="R3379" t="str">
        <f>"9780871202598"</f>
        <v>9780871202598</v>
      </c>
      <c r="S3379" t="str">
        <f>"9780871205254"</f>
        <v>9780871205254</v>
      </c>
      <c r="T3379">
        <v>45843337</v>
      </c>
    </row>
    <row r="3380" spans="1:20" x14ac:dyDescent="0.25">
      <c r="A3380">
        <v>39081</v>
      </c>
      <c r="B3380" t="s">
        <v>16255</v>
      </c>
      <c r="C3380" t="s">
        <v>16256</v>
      </c>
      <c r="D3380" t="s">
        <v>16236</v>
      </c>
      <c r="E3380" t="s">
        <v>16236</v>
      </c>
      <c r="F3380">
        <v>1988</v>
      </c>
      <c r="G3380" t="s">
        <v>6371</v>
      </c>
      <c r="H3380" t="s">
        <v>16257</v>
      </c>
      <c r="I3380" t="s">
        <v>16258</v>
      </c>
      <c r="J3380" t="s">
        <v>26</v>
      </c>
      <c r="K3380" t="s">
        <v>27</v>
      </c>
      <c r="L3380" t="b">
        <v>1</v>
      </c>
      <c r="M3380" t="s">
        <v>16259</v>
      </c>
      <c r="N3380" t="str">
        <f>"333.95/16/0973"</f>
        <v>333.95/16/0973</v>
      </c>
      <c r="P3380" t="b">
        <v>0</v>
      </c>
      <c r="R3380" t="str">
        <f>"9780870236082"</f>
        <v>9780870236082</v>
      </c>
      <c r="S3380" t="str">
        <f>"9780585274072"</f>
        <v>9780585274072</v>
      </c>
      <c r="T3380">
        <v>45727600</v>
      </c>
    </row>
    <row r="3381" spans="1:20" x14ac:dyDescent="0.25">
      <c r="A3381">
        <v>39039</v>
      </c>
      <c r="B3381" t="s">
        <v>16260</v>
      </c>
      <c r="C3381" t="s">
        <v>16261</v>
      </c>
      <c r="D3381" t="s">
        <v>16236</v>
      </c>
      <c r="E3381" t="s">
        <v>16236</v>
      </c>
      <c r="F3381">
        <v>1981</v>
      </c>
      <c r="G3381" t="s">
        <v>10695</v>
      </c>
      <c r="H3381" t="s">
        <v>16262</v>
      </c>
      <c r="I3381" t="s">
        <v>16263</v>
      </c>
      <c r="J3381" t="s">
        <v>26</v>
      </c>
      <c r="K3381" t="s">
        <v>27</v>
      </c>
      <c r="L3381" t="b">
        <v>1</v>
      </c>
      <c r="M3381" t="s">
        <v>16264</v>
      </c>
      <c r="N3381" t="str">
        <f>"333.79/32/09776"</f>
        <v>333.79/32/09776</v>
      </c>
      <c r="P3381" t="b">
        <v>0</v>
      </c>
      <c r="R3381" t="str">
        <f>"9780870233203"</f>
        <v>9780870233203</v>
      </c>
      <c r="S3381" t="str">
        <f>"9780585271514"</f>
        <v>9780585271514</v>
      </c>
      <c r="T3381">
        <v>45733826</v>
      </c>
    </row>
    <row r="3382" spans="1:20" x14ac:dyDescent="0.25">
      <c r="A3382">
        <v>38936</v>
      </c>
      <c r="B3382" t="s">
        <v>16265</v>
      </c>
      <c r="C3382" t="s">
        <v>16266</v>
      </c>
      <c r="D3382" t="s">
        <v>16230</v>
      </c>
      <c r="E3382" t="s">
        <v>16230</v>
      </c>
      <c r="F3382">
        <v>1999</v>
      </c>
      <c r="G3382" t="s">
        <v>16014</v>
      </c>
      <c r="H3382" t="s">
        <v>16267</v>
      </c>
      <c r="I3382" t="s">
        <v>16268</v>
      </c>
      <c r="J3382" t="s">
        <v>26</v>
      </c>
      <c r="K3382" t="s">
        <v>27</v>
      </c>
      <c r="L3382" t="b">
        <v>1</v>
      </c>
      <c r="M3382" t="s">
        <v>16269</v>
      </c>
      <c r="N3382" t="str">
        <f>"690/.22"</f>
        <v>690/.22</v>
      </c>
      <c r="P3382" t="b">
        <v>0</v>
      </c>
      <c r="R3382" t="str">
        <f>"9780881733228"</f>
        <v>9780881733228</v>
      </c>
      <c r="S3382" t="str">
        <f>"9780585295824"</f>
        <v>9780585295824</v>
      </c>
      <c r="T3382">
        <v>45732219</v>
      </c>
    </row>
    <row r="3383" spans="1:20" x14ac:dyDescent="0.25">
      <c r="A3383">
        <v>38934</v>
      </c>
      <c r="B3383" t="s">
        <v>16270</v>
      </c>
      <c r="C3383" t="s">
        <v>16271</v>
      </c>
      <c r="D3383" t="s">
        <v>16230</v>
      </c>
      <c r="E3383" t="s">
        <v>16230</v>
      </c>
      <c r="F3383">
        <v>1999</v>
      </c>
      <c r="G3383" t="s">
        <v>10919</v>
      </c>
      <c r="H3383" t="s">
        <v>16272</v>
      </c>
      <c r="I3383" t="s">
        <v>16273</v>
      </c>
      <c r="J3383" t="s">
        <v>26</v>
      </c>
      <c r="K3383" t="s">
        <v>27</v>
      </c>
      <c r="L3383" t="b">
        <v>1</v>
      </c>
      <c r="M3383" t="s">
        <v>16274</v>
      </c>
      <c r="N3383" t="str">
        <f>"697"</f>
        <v>697</v>
      </c>
      <c r="P3383" t="b">
        <v>0</v>
      </c>
      <c r="R3383" t="str">
        <f>"9780881733068"</f>
        <v>9780881733068</v>
      </c>
      <c r="S3383" t="str">
        <f>"9780585295817"</f>
        <v>9780585295817</v>
      </c>
      <c r="T3383">
        <v>45732146</v>
      </c>
    </row>
    <row r="3384" spans="1:20" x14ac:dyDescent="0.25">
      <c r="A3384">
        <v>35366</v>
      </c>
      <c r="B3384" t="s">
        <v>16275</v>
      </c>
      <c r="C3384" t="s">
        <v>16276</v>
      </c>
      <c r="D3384" t="s">
        <v>16236</v>
      </c>
      <c r="E3384" t="s">
        <v>16236</v>
      </c>
      <c r="F3384">
        <v>1969</v>
      </c>
      <c r="G3384" t="s">
        <v>797</v>
      </c>
      <c r="H3384" t="s">
        <v>16277</v>
      </c>
      <c r="J3384" t="s">
        <v>26</v>
      </c>
      <c r="K3384" t="s">
        <v>27</v>
      </c>
      <c r="L3384" t="b">
        <v>1</v>
      </c>
      <c r="M3384" t="s">
        <v>16278</v>
      </c>
      <c r="N3384" t="str">
        <f>"821/.7"</f>
        <v>821/.7</v>
      </c>
      <c r="P3384" t="b">
        <v>0</v>
      </c>
      <c r="R3384" t="str">
        <f>"9780870230486"</f>
        <v>9780870230486</v>
      </c>
      <c r="S3384" t="str">
        <f>"9780585272634"</f>
        <v>9780585272634</v>
      </c>
      <c r="T3384">
        <v>45733922</v>
      </c>
    </row>
    <row r="3385" spans="1:20" x14ac:dyDescent="0.25">
      <c r="A3385">
        <v>35342</v>
      </c>
      <c r="B3385" t="s">
        <v>16279</v>
      </c>
      <c r="C3385" t="s">
        <v>16280</v>
      </c>
      <c r="D3385" t="s">
        <v>16236</v>
      </c>
      <c r="E3385" t="s">
        <v>16236</v>
      </c>
      <c r="F3385">
        <v>1981</v>
      </c>
      <c r="G3385" t="s">
        <v>2718</v>
      </c>
      <c r="H3385" t="s">
        <v>16281</v>
      </c>
      <c r="I3385" t="s">
        <v>16282</v>
      </c>
      <c r="J3385" t="s">
        <v>26</v>
      </c>
      <c r="K3385" t="s">
        <v>27</v>
      </c>
      <c r="L3385" t="b">
        <v>1</v>
      </c>
      <c r="M3385" t="s">
        <v>16283</v>
      </c>
      <c r="N3385" t="str">
        <f>"302.5"</f>
        <v>302.5</v>
      </c>
      <c r="P3385" t="b">
        <v>0</v>
      </c>
      <c r="R3385" t="str">
        <f>"9780870233142"</f>
        <v>9780870233142</v>
      </c>
      <c r="S3385" t="str">
        <f>"9780585247243"</f>
        <v>9780585247243</v>
      </c>
      <c r="T3385">
        <v>44961976</v>
      </c>
    </row>
    <row r="3386" spans="1:20" x14ac:dyDescent="0.25">
      <c r="A3386">
        <v>35338</v>
      </c>
      <c r="B3386" t="s">
        <v>16284</v>
      </c>
      <c r="D3386" t="s">
        <v>16236</v>
      </c>
      <c r="E3386" t="s">
        <v>16236</v>
      </c>
      <c r="F3386">
        <v>1966</v>
      </c>
      <c r="G3386" t="s">
        <v>1026</v>
      </c>
      <c r="H3386" t="s">
        <v>16285</v>
      </c>
      <c r="I3386" t="s">
        <v>16286</v>
      </c>
      <c r="J3386" t="s">
        <v>26</v>
      </c>
      <c r="K3386" t="s">
        <v>27</v>
      </c>
      <c r="L3386" t="b">
        <v>1</v>
      </c>
      <c r="M3386" t="s">
        <v>16287</v>
      </c>
      <c r="N3386" t="str">
        <f>"828.509"</f>
        <v>828.509</v>
      </c>
      <c r="P3386" t="b">
        <v>0</v>
      </c>
      <c r="R3386" t="str">
        <f>"9780870230226"</f>
        <v>9780870230226</v>
      </c>
      <c r="S3386" t="str">
        <f>"9780585251905"</f>
        <v>9780585251905</v>
      </c>
      <c r="T3386">
        <v>44961831</v>
      </c>
    </row>
    <row r="3387" spans="1:20" x14ac:dyDescent="0.25">
      <c r="A3387">
        <v>35306</v>
      </c>
      <c r="B3387" t="s">
        <v>16288</v>
      </c>
      <c r="C3387" t="s">
        <v>16289</v>
      </c>
      <c r="D3387" t="s">
        <v>16236</v>
      </c>
      <c r="E3387" t="s">
        <v>16236</v>
      </c>
      <c r="F3387">
        <v>1989</v>
      </c>
      <c r="G3387" t="s">
        <v>7870</v>
      </c>
      <c r="H3387" t="s">
        <v>16290</v>
      </c>
      <c r="I3387" t="s">
        <v>16291</v>
      </c>
      <c r="J3387" t="s">
        <v>26</v>
      </c>
      <c r="K3387" t="s">
        <v>27</v>
      </c>
      <c r="L3387" t="b">
        <v>1</v>
      </c>
      <c r="M3387" t="s">
        <v>16292</v>
      </c>
      <c r="N3387" t="str">
        <f>"944/.361"</f>
        <v>944/.361</v>
      </c>
      <c r="P3387" t="b">
        <v>0</v>
      </c>
      <c r="R3387" t="str">
        <f>"9780870236730"</f>
        <v>9780870236730</v>
      </c>
      <c r="S3387" t="str">
        <f>"9780585251769"</f>
        <v>9780585251769</v>
      </c>
      <c r="T3387">
        <v>44961619</v>
      </c>
    </row>
    <row r="3388" spans="1:20" x14ac:dyDescent="0.25">
      <c r="A3388">
        <v>35303</v>
      </c>
      <c r="B3388" t="s">
        <v>16293</v>
      </c>
      <c r="D3388" t="s">
        <v>16236</v>
      </c>
      <c r="E3388" t="s">
        <v>16236</v>
      </c>
      <c r="F3388">
        <v>1987</v>
      </c>
      <c r="G3388" t="s">
        <v>6296</v>
      </c>
      <c r="H3388" t="s">
        <v>16294</v>
      </c>
      <c r="I3388" t="s">
        <v>16295</v>
      </c>
      <c r="J3388" t="s">
        <v>26</v>
      </c>
      <c r="K3388" t="s">
        <v>27</v>
      </c>
      <c r="L3388" t="b">
        <v>1</v>
      </c>
      <c r="M3388" t="s">
        <v>16296</v>
      </c>
      <c r="N3388" t="str">
        <f>"701/.1/80973"</f>
        <v>701/.1/80973</v>
      </c>
      <c r="P3388" t="b">
        <v>0</v>
      </c>
      <c r="R3388" t="str">
        <f>"9780870235610"</f>
        <v>9780870235610</v>
      </c>
      <c r="S3388" t="str">
        <f>"9780585257471"</f>
        <v>9780585257471</v>
      </c>
      <c r="T3388">
        <v>45732909</v>
      </c>
    </row>
    <row r="3389" spans="1:20" x14ac:dyDescent="0.25">
      <c r="A3389">
        <v>35291</v>
      </c>
      <c r="B3389" t="s">
        <v>16297</v>
      </c>
      <c r="D3389" t="s">
        <v>16236</v>
      </c>
      <c r="E3389" t="s">
        <v>16236</v>
      </c>
      <c r="F3389">
        <v>1970</v>
      </c>
      <c r="G3389" t="s">
        <v>13648</v>
      </c>
      <c r="H3389" t="s">
        <v>16298</v>
      </c>
      <c r="I3389" t="s">
        <v>16299</v>
      </c>
      <c r="J3389" t="s">
        <v>26</v>
      </c>
      <c r="K3389" t="s">
        <v>27</v>
      </c>
      <c r="L3389" t="b">
        <v>1</v>
      </c>
      <c r="M3389" t="s">
        <v>16300</v>
      </c>
      <c r="N3389" t="str">
        <f>"005.101"</f>
        <v>005.101</v>
      </c>
      <c r="P3389" t="b">
        <v>0</v>
      </c>
      <c r="R3389" t="str">
        <f>"9780870230554"</f>
        <v>9780870230554</v>
      </c>
      <c r="S3389" t="str">
        <f>"9780585259017"</f>
        <v>9780585259017</v>
      </c>
      <c r="T3389">
        <v>45732688</v>
      </c>
    </row>
    <row r="3390" spans="1:20" x14ac:dyDescent="0.25">
      <c r="A3390">
        <v>35286</v>
      </c>
      <c r="B3390" t="s">
        <v>16301</v>
      </c>
      <c r="C3390" t="s">
        <v>16302</v>
      </c>
      <c r="D3390" t="s">
        <v>16236</v>
      </c>
      <c r="E3390" t="s">
        <v>16236</v>
      </c>
      <c r="F3390">
        <v>1984</v>
      </c>
      <c r="G3390" t="s">
        <v>16303</v>
      </c>
      <c r="H3390" t="s">
        <v>16304</v>
      </c>
      <c r="I3390" t="s">
        <v>16305</v>
      </c>
      <c r="J3390" t="s">
        <v>26</v>
      </c>
      <c r="K3390" t="s">
        <v>27</v>
      </c>
      <c r="L3390" t="b">
        <v>1</v>
      </c>
      <c r="M3390" t="s">
        <v>16306</v>
      </c>
      <c r="N3390" t="str">
        <f>"728/.097"</f>
        <v>728/.097</v>
      </c>
      <c r="P3390" t="b">
        <v>0</v>
      </c>
      <c r="R3390" t="str">
        <f>"9780870235184"</f>
        <v>9780870235184</v>
      </c>
      <c r="S3390" t="str">
        <f>"9780585253503"</f>
        <v>9780585253503</v>
      </c>
      <c r="T3390">
        <v>44961332</v>
      </c>
    </row>
    <row r="3391" spans="1:20" x14ac:dyDescent="0.25">
      <c r="A3391">
        <v>28505</v>
      </c>
      <c r="B3391" t="s">
        <v>16307</v>
      </c>
      <c r="C3391" t="s">
        <v>16308</v>
      </c>
      <c r="D3391" t="s">
        <v>16309</v>
      </c>
      <c r="E3391" t="s">
        <v>16309</v>
      </c>
      <c r="F3391">
        <v>1995</v>
      </c>
      <c r="G3391" t="s">
        <v>14566</v>
      </c>
      <c r="H3391" t="s">
        <v>16310</v>
      </c>
      <c r="I3391" t="s">
        <v>16311</v>
      </c>
      <c r="J3391" t="s">
        <v>26</v>
      </c>
      <c r="K3391" t="s">
        <v>27</v>
      </c>
      <c r="L3391" t="b">
        <v>1</v>
      </c>
      <c r="M3391" t="s">
        <v>16312</v>
      </c>
      <c r="N3391" t="str">
        <f>"362.1/969792/0092;B"</f>
        <v>362.1/969792/0092;B</v>
      </c>
      <c r="P3391" t="b">
        <v>0</v>
      </c>
      <c r="R3391" t="str">
        <f>"9780836190281"</f>
        <v>9780836190281</v>
      </c>
      <c r="S3391" t="str">
        <f>"9780585262994"</f>
        <v>9780585262994</v>
      </c>
      <c r="T3391">
        <v>45730490</v>
      </c>
    </row>
    <row r="3392" spans="1:20" x14ac:dyDescent="0.25">
      <c r="A3392">
        <v>28307</v>
      </c>
      <c r="B3392" t="s">
        <v>16313</v>
      </c>
      <c r="C3392" t="s">
        <v>16314</v>
      </c>
      <c r="D3392" t="s">
        <v>999</v>
      </c>
      <c r="E3392" t="s">
        <v>16309</v>
      </c>
      <c r="F3392">
        <v>1995</v>
      </c>
      <c r="G3392" t="s">
        <v>4916</v>
      </c>
      <c r="H3392" t="s">
        <v>16315</v>
      </c>
      <c r="I3392" t="s">
        <v>16316</v>
      </c>
      <c r="J3392" t="s">
        <v>26</v>
      </c>
      <c r="K3392" t="s">
        <v>27</v>
      </c>
      <c r="L3392" t="b">
        <v>1</v>
      </c>
      <c r="M3392" t="s">
        <v>16317</v>
      </c>
      <c r="N3392" t="str">
        <f>"230/.4"</f>
        <v>230/.4</v>
      </c>
      <c r="O3392" t="s">
        <v>16318</v>
      </c>
      <c r="P3392" t="b">
        <v>0</v>
      </c>
      <c r="R3392" t="str">
        <f>"9780836131161"</f>
        <v>9780836131161</v>
      </c>
      <c r="S3392" t="str">
        <f>"9780585283999"</f>
        <v>9780585283999</v>
      </c>
      <c r="T3392">
        <v>45727514</v>
      </c>
    </row>
    <row r="3393" spans="1:20" x14ac:dyDescent="0.25">
      <c r="A3393">
        <v>28145</v>
      </c>
      <c r="B3393" t="s">
        <v>16319</v>
      </c>
      <c r="C3393" t="s">
        <v>16320</v>
      </c>
      <c r="D3393" t="s">
        <v>16309</v>
      </c>
      <c r="E3393" t="s">
        <v>16309</v>
      </c>
      <c r="F3393">
        <v>1990</v>
      </c>
      <c r="G3393" t="s">
        <v>16321</v>
      </c>
      <c r="H3393" t="s">
        <v>16322</v>
      </c>
      <c r="I3393" t="s">
        <v>16323</v>
      </c>
      <c r="J3393" t="s">
        <v>26</v>
      </c>
      <c r="K3393" t="s">
        <v>27</v>
      </c>
      <c r="L3393" t="b">
        <v>1</v>
      </c>
      <c r="M3393" t="s">
        <v>16324</v>
      </c>
      <c r="N3393" t="str">
        <f>"176"</f>
        <v>176</v>
      </c>
      <c r="P3393" t="b">
        <v>0</v>
      </c>
      <c r="R3393" t="str">
        <f>"9780836135022"</f>
        <v>9780836135022</v>
      </c>
      <c r="S3393" t="str">
        <f>"9780585262536"</f>
        <v>9780585262536</v>
      </c>
      <c r="T3393">
        <v>45731847</v>
      </c>
    </row>
    <row r="3394" spans="1:20" x14ac:dyDescent="0.25">
      <c r="A3394">
        <v>27892</v>
      </c>
      <c r="B3394" t="s">
        <v>16325</v>
      </c>
      <c r="C3394" t="s">
        <v>16326</v>
      </c>
      <c r="D3394" t="s">
        <v>16309</v>
      </c>
      <c r="E3394" t="s">
        <v>16309</v>
      </c>
      <c r="F3394">
        <v>1991</v>
      </c>
      <c r="G3394" t="s">
        <v>1750</v>
      </c>
      <c r="H3394" t="s">
        <v>16327</v>
      </c>
      <c r="I3394" t="s">
        <v>16328</v>
      </c>
      <c r="J3394" t="s">
        <v>26</v>
      </c>
      <c r="K3394" t="s">
        <v>27</v>
      </c>
      <c r="L3394" t="b">
        <v>1</v>
      </c>
      <c r="M3394" t="s">
        <v>16329</v>
      </c>
      <c r="N3394" t="str">
        <f>"610.69/5/092;B"</f>
        <v>610.69/5/092;B</v>
      </c>
      <c r="P3394" t="b">
        <v>0</v>
      </c>
      <c r="R3394" t="str">
        <f>"9780836135664"</f>
        <v>9780836135664</v>
      </c>
      <c r="S3394" t="str">
        <f>"9780585261997"</f>
        <v>9780585261997</v>
      </c>
      <c r="T3394">
        <v>45733321</v>
      </c>
    </row>
    <row r="3395" spans="1:20" x14ac:dyDescent="0.25">
      <c r="A3395">
        <v>26465</v>
      </c>
      <c r="B3395" t="s">
        <v>16330</v>
      </c>
      <c r="C3395" t="s">
        <v>16331</v>
      </c>
      <c r="D3395" t="s">
        <v>16236</v>
      </c>
      <c r="E3395" t="s">
        <v>16236</v>
      </c>
      <c r="F3395">
        <v>1988</v>
      </c>
      <c r="G3395" t="s">
        <v>16332</v>
      </c>
      <c r="H3395" t="s">
        <v>16333</v>
      </c>
      <c r="I3395" t="s">
        <v>16334</v>
      </c>
      <c r="J3395" t="s">
        <v>26</v>
      </c>
      <c r="K3395" t="s">
        <v>27</v>
      </c>
      <c r="L3395" t="b">
        <v>1</v>
      </c>
      <c r="M3395" t="s">
        <v>16335</v>
      </c>
      <c r="N3395" t="str">
        <f>"370.19"</f>
        <v>370.19</v>
      </c>
      <c r="P3395" t="b">
        <v>0</v>
      </c>
      <c r="R3395" t="str">
        <f>"9780870236105"</f>
        <v>9780870236105</v>
      </c>
      <c r="S3395" t="str">
        <f>"9780585260846"</f>
        <v>9780585260846</v>
      </c>
      <c r="T3395">
        <v>45730270</v>
      </c>
    </row>
    <row r="3396" spans="1:20" x14ac:dyDescent="0.25">
      <c r="A3396">
        <v>26459</v>
      </c>
      <c r="B3396" t="s">
        <v>16336</v>
      </c>
      <c r="D3396" t="s">
        <v>16236</v>
      </c>
      <c r="E3396" t="s">
        <v>16236</v>
      </c>
      <c r="F3396">
        <v>1982</v>
      </c>
      <c r="G3396" t="s">
        <v>2203</v>
      </c>
      <c r="H3396" t="s">
        <v>16337</v>
      </c>
      <c r="J3396" t="s">
        <v>26</v>
      </c>
      <c r="K3396" t="s">
        <v>27</v>
      </c>
      <c r="L3396" t="b">
        <v>1</v>
      </c>
      <c r="M3396" t="s">
        <v>16338</v>
      </c>
      <c r="N3396" t="str">
        <f>"882/.01"</f>
        <v>882/.01</v>
      </c>
      <c r="P3396" t="b">
        <v>1</v>
      </c>
      <c r="R3396" t="str">
        <f>"9780870233623"</f>
        <v>9780870233623</v>
      </c>
      <c r="S3396" t="str">
        <f>"9780585387833"</f>
        <v>9780585387833</v>
      </c>
      <c r="T3396">
        <v>49568934</v>
      </c>
    </row>
    <row r="3397" spans="1:20" x14ac:dyDescent="0.25">
      <c r="A3397">
        <v>26425</v>
      </c>
      <c r="B3397" t="s">
        <v>16339</v>
      </c>
      <c r="C3397" t="s">
        <v>16340</v>
      </c>
      <c r="D3397" t="s">
        <v>16236</v>
      </c>
      <c r="E3397" t="s">
        <v>16236</v>
      </c>
      <c r="F3397">
        <v>1993</v>
      </c>
      <c r="G3397" t="s">
        <v>15567</v>
      </c>
      <c r="H3397" t="s">
        <v>16341</v>
      </c>
      <c r="I3397" t="s">
        <v>16342</v>
      </c>
      <c r="J3397" t="s">
        <v>26</v>
      </c>
      <c r="K3397" t="s">
        <v>27</v>
      </c>
      <c r="L3397" t="b">
        <v>1</v>
      </c>
      <c r="M3397" t="s">
        <v>16343</v>
      </c>
      <c r="N3397" t="str">
        <f>"720/.92"</f>
        <v>720/.92</v>
      </c>
      <c r="P3397" t="b">
        <v>0</v>
      </c>
      <c r="R3397" t="str">
        <f>"9780870237683"</f>
        <v>9780870237683</v>
      </c>
      <c r="S3397" t="str">
        <f>"9780585365732"</f>
        <v>9780585365732</v>
      </c>
      <c r="T3397">
        <v>47011779</v>
      </c>
    </row>
    <row r="3398" spans="1:20" x14ac:dyDescent="0.25">
      <c r="A3398">
        <v>26417</v>
      </c>
      <c r="B3398" t="s">
        <v>16344</v>
      </c>
      <c r="C3398" t="s">
        <v>16345</v>
      </c>
      <c r="D3398" t="s">
        <v>16236</v>
      </c>
      <c r="E3398" t="s">
        <v>16236</v>
      </c>
      <c r="F3398">
        <v>1996</v>
      </c>
      <c r="G3398" t="s">
        <v>6128</v>
      </c>
      <c r="H3398" t="s">
        <v>16346</v>
      </c>
      <c r="I3398" t="s">
        <v>16347</v>
      </c>
      <c r="J3398" t="s">
        <v>26</v>
      </c>
      <c r="K3398" t="s">
        <v>27</v>
      </c>
      <c r="L3398" t="b">
        <v>1</v>
      </c>
      <c r="M3398" t="s">
        <v>16348</v>
      </c>
      <c r="N3398" t="str">
        <f>"683.4/0092/2;B"</f>
        <v>683.4/0092/2;B</v>
      </c>
      <c r="P3398" t="b">
        <v>0</v>
      </c>
      <c r="R3398" t="str">
        <f>"9781558490420"</f>
        <v>9781558490420</v>
      </c>
      <c r="S3398" t="str">
        <f>"9780585235493"</f>
        <v>9780585235493</v>
      </c>
      <c r="T3398">
        <v>44961617</v>
      </c>
    </row>
    <row r="3399" spans="1:20" x14ac:dyDescent="0.25">
      <c r="A3399">
        <v>25528</v>
      </c>
      <c r="B3399" t="s">
        <v>16349</v>
      </c>
      <c r="D3399" t="s">
        <v>16236</v>
      </c>
      <c r="E3399" t="s">
        <v>16236</v>
      </c>
      <c r="F3399">
        <v>1981</v>
      </c>
      <c r="G3399" t="s">
        <v>4483</v>
      </c>
      <c r="H3399" t="s">
        <v>16350</v>
      </c>
      <c r="I3399" t="s">
        <v>16351</v>
      </c>
      <c r="J3399" t="s">
        <v>26</v>
      </c>
      <c r="K3399" t="s">
        <v>27</v>
      </c>
      <c r="L3399" t="b">
        <v>1</v>
      </c>
      <c r="M3399" t="s">
        <v>16352</v>
      </c>
      <c r="N3399" t="str">
        <f>"192"</f>
        <v>192</v>
      </c>
      <c r="P3399" t="b">
        <v>0</v>
      </c>
      <c r="R3399" t="str">
        <f>"9780870233180"</f>
        <v>9780870233180</v>
      </c>
      <c r="S3399" t="str">
        <f>"9780585161822"</f>
        <v>9780585161822</v>
      </c>
      <c r="T3399">
        <v>44954560</v>
      </c>
    </row>
    <row r="3400" spans="1:20" x14ac:dyDescent="0.25">
      <c r="A3400">
        <v>22391</v>
      </c>
      <c r="B3400" t="s">
        <v>16353</v>
      </c>
      <c r="D3400" t="s">
        <v>16236</v>
      </c>
      <c r="E3400" t="s">
        <v>16236</v>
      </c>
      <c r="F3400">
        <v>1979</v>
      </c>
      <c r="G3400" t="s">
        <v>5469</v>
      </c>
      <c r="H3400" t="s">
        <v>16354</v>
      </c>
      <c r="I3400" t="s">
        <v>16355</v>
      </c>
      <c r="J3400" t="s">
        <v>26</v>
      </c>
      <c r="K3400" t="s">
        <v>27</v>
      </c>
      <c r="L3400" t="b">
        <v>1</v>
      </c>
      <c r="M3400" t="s">
        <v>16356</v>
      </c>
      <c r="N3400" t="str">
        <f>"863"</f>
        <v>863</v>
      </c>
      <c r="P3400" t="b">
        <v>0</v>
      </c>
      <c r="R3400" t="str">
        <f>"9780870232626"</f>
        <v>9780870232626</v>
      </c>
      <c r="S3400" t="str">
        <f>"9780585186931"</f>
        <v>9780585186931</v>
      </c>
      <c r="T3400">
        <v>44960520</v>
      </c>
    </row>
    <row r="3401" spans="1:20" x14ac:dyDescent="0.25">
      <c r="A3401">
        <v>22389</v>
      </c>
      <c r="B3401" t="s">
        <v>16357</v>
      </c>
      <c r="C3401" t="s">
        <v>16358</v>
      </c>
      <c r="D3401" t="s">
        <v>16236</v>
      </c>
      <c r="E3401" t="s">
        <v>16236</v>
      </c>
      <c r="F3401">
        <v>1979</v>
      </c>
      <c r="G3401" t="s">
        <v>1478</v>
      </c>
      <c r="H3401" t="s">
        <v>16359</v>
      </c>
      <c r="I3401" t="s">
        <v>16360</v>
      </c>
      <c r="J3401" t="s">
        <v>26</v>
      </c>
      <c r="K3401" t="s">
        <v>27</v>
      </c>
      <c r="L3401" t="b">
        <v>1</v>
      </c>
      <c r="M3401" t="s">
        <v>16361</v>
      </c>
      <c r="N3401" t="str">
        <f>"291.2/2"</f>
        <v>291.2/2</v>
      </c>
      <c r="P3401" t="b">
        <v>0</v>
      </c>
      <c r="R3401" t="str">
        <f>"9780870232732"</f>
        <v>9780870232732</v>
      </c>
      <c r="S3401" t="str">
        <f>"9780585225593"</f>
        <v>9780585225593</v>
      </c>
      <c r="T3401">
        <v>44960438</v>
      </c>
    </row>
    <row r="3402" spans="1:20" x14ac:dyDescent="0.25">
      <c r="A3402">
        <v>22386</v>
      </c>
      <c r="B3402" t="s">
        <v>16362</v>
      </c>
      <c r="C3402" t="s">
        <v>16363</v>
      </c>
      <c r="D3402" t="s">
        <v>16236</v>
      </c>
      <c r="E3402" t="s">
        <v>16236</v>
      </c>
      <c r="F3402">
        <v>1992</v>
      </c>
      <c r="G3402" t="s">
        <v>197</v>
      </c>
      <c r="H3402" t="s">
        <v>16364</v>
      </c>
      <c r="I3402" t="s">
        <v>16365</v>
      </c>
      <c r="J3402" t="s">
        <v>26</v>
      </c>
      <c r="K3402" t="s">
        <v>27</v>
      </c>
      <c r="L3402" t="b">
        <v>1</v>
      </c>
      <c r="M3402" t="s">
        <v>16366</v>
      </c>
      <c r="N3402" t="str">
        <f>"809.3/009729"</f>
        <v>809.3/009729</v>
      </c>
      <c r="P3402" t="b">
        <v>0</v>
      </c>
      <c r="R3402" t="str">
        <f>"9780870237843"</f>
        <v>9780870237843</v>
      </c>
      <c r="S3402" t="str">
        <f>"9780585186900"</f>
        <v>9780585186900</v>
      </c>
      <c r="T3402">
        <v>44960338</v>
      </c>
    </row>
    <row r="3403" spans="1:20" x14ac:dyDescent="0.25">
      <c r="A3403">
        <v>22382</v>
      </c>
      <c r="B3403" t="s">
        <v>16367</v>
      </c>
      <c r="D3403" t="s">
        <v>16236</v>
      </c>
      <c r="E3403" t="s">
        <v>16236</v>
      </c>
      <c r="F3403">
        <v>1990</v>
      </c>
      <c r="G3403" t="s">
        <v>16368</v>
      </c>
      <c r="H3403" t="s">
        <v>16369</v>
      </c>
      <c r="I3403" t="s">
        <v>16370</v>
      </c>
      <c r="J3403" t="s">
        <v>26</v>
      </c>
      <c r="K3403" t="s">
        <v>27</v>
      </c>
      <c r="L3403" t="b">
        <v>1</v>
      </c>
      <c r="M3403" t="s">
        <v>16371</v>
      </c>
      <c r="N3403" t="str">
        <f>"947/.718"</f>
        <v>947/.718</v>
      </c>
      <c r="P3403" t="b">
        <v>0</v>
      </c>
      <c r="R3403" t="str">
        <f>"9780870237263"</f>
        <v>9780870237263</v>
      </c>
      <c r="S3403" t="str">
        <f>"9780585186894"</f>
        <v>9780585186894</v>
      </c>
      <c r="T3403">
        <v>44960220</v>
      </c>
    </row>
    <row r="3404" spans="1:20" x14ac:dyDescent="0.25">
      <c r="A3404">
        <v>22379</v>
      </c>
      <c r="B3404" t="s">
        <v>16372</v>
      </c>
      <c r="C3404" t="s">
        <v>16373</v>
      </c>
      <c r="D3404" t="s">
        <v>16236</v>
      </c>
      <c r="E3404" t="s">
        <v>16236</v>
      </c>
      <c r="F3404">
        <v>1989</v>
      </c>
      <c r="G3404" t="s">
        <v>2417</v>
      </c>
      <c r="H3404" t="s">
        <v>16374</v>
      </c>
      <c r="J3404" t="s">
        <v>26</v>
      </c>
      <c r="K3404" t="s">
        <v>27</v>
      </c>
      <c r="L3404" t="b">
        <v>1</v>
      </c>
      <c r="M3404" t="s">
        <v>16375</v>
      </c>
      <c r="N3404" t="str">
        <f>"813/.4"</f>
        <v>813/.4</v>
      </c>
      <c r="P3404" t="b">
        <v>0</v>
      </c>
      <c r="R3404" t="str">
        <f>"9780870236808"</f>
        <v>9780870236808</v>
      </c>
      <c r="S3404" t="str">
        <f>"9780585276670"</f>
        <v>9780585276670</v>
      </c>
      <c r="T3404">
        <v>45730634</v>
      </c>
    </row>
    <row r="3405" spans="1:20" x14ac:dyDescent="0.25">
      <c r="A3405">
        <v>22374</v>
      </c>
      <c r="B3405" t="s">
        <v>16376</v>
      </c>
      <c r="C3405" t="s">
        <v>16377</v>
      </c>
      <c r="D3405" t="s">
        <v>16236</v>
      </c>
      <c r="E3405" t="s">
        <v>16236</v>
      </c>
      <c r="F3405">
        <v>1992</v>
      </c>
      <c r="G3405" t="s">
        <v>8927</v>
      </c>
      <c r="H3405" t="s">
        <v>16378</v>
      </c>
      <c r="I3405" t="s">
        <v>16379</v>
      </c>
      <c r="J3405" t="s">
        <v>26</v>
      </c>
      <c r="K3405" t="s">
        <v>27</v>
      </c>
      <c r="L3405" t="b">
        <v>1</v>
      </c>
      <c r="M3405" t="s">
        <v>16380</v>
      </c>
      <c r="N3405" t="str">
        <f>"973/.0496073"</f>
        <v>973/.0496073</v>
      </c>
      <c r="P3405" t="b">
        <v>0</v>
      </c>
      <c r="R3405" t="str">
        <f>"9780870237881"</f>
        <v>9780870237881</v>
      </c>
      <c r="S3405" t="str">
        <f>"9780585186863"</f>
        <v>9780585186863</v>
      </c>
      <c r="T3405">
        <v>44960026</v>
      </c>
    </row>
    <row r="3406" spans="1:20" x14ac:dyDescent="0.25">
      <c r="A3406">
        <v>22364</v>
      </c>
      <c r="B3406" t="s">
        <v>16381</v>
      </c>
      <c r="C3406" t="s">
        <v>16382</v>
      </c>
      <c r="D3406" t="s">
        <v>16236</v>
      </c>
      <c r="E3406" t="s">
        <v>16236</v>
      </c>
      <c r="F3406">
        <v>1980</v>
      </c>
      <c r="G3406" t="s">
        <v>740</v>
      </c>
      <c r="H3406" t="s">
        <v>16383</v>
      </c>
      <c r="I3406" t="s">
        <v>16384</v>
      </c>
      <c r="J3406" t="s">
        <v>26</v>
      </c>
      <c r="K3406" t="s">
        <v>27</v>
      </c>
      <c r="L3406" t="b">
        <v>1</v>
      </c>
      <c r="M3406" t="s">
        <v>16385</v>
      </c>
      <c r="N3406" t="str">
        <f>"812/.5/209"</f>
        <v>812/.5/209</v>
      </c>
      <c r="P3406" t="b">
        <v>1</v>
      </c>
      <c r="R3406" t="str">
        <f>"9780870232947"</f>
        <v>9780870232947</v>
      </c>
      <c r="S3406" t="str">
        <f>"9780585186825"</f>
        <v>9780585186825</v>
      </c>
      <c r="T3406">
        <v>44959774</v>
      </c>
    </row>
    <row r="3407" spans="1:20" x14ac:dyDescent="0.25">
      <c r="A3407">
        <v>22355</v>
      </c>
      <c r="B3407" t="s">
        <v>16386</v>
      </c>
      <c r="C3407" t="s">
        <v>16387</v>
      </c>
      <c r="D3407" t="s">
        <v>16236</v>
      </c>
      <c r="E3407" t="s">
        <v>16236</v>
      </c>
      <c r="F3407">
        <v>1981</v>
      </c>
      <c r="G3407" t="s">
        <v>2771</v>
      </c>
      <c r="H3407" t="s">
        <v>16388</v>
      </c>
      <c r="I3407" t="s">
        <v>16389</v>
      </c>
      <c r="J3407" t="s">
        <v>26</v>
      </c>
      <c r="K3407" t="s">
        <v>27</v>
      </c>
      <c r="L3407" t="b">
        <v>1</v>
      </c>
      <c r="M3407" t="s">
        <v>16390</v>
      </c>
      <c r="N3407" t="str">
        <f>"808/.00141"</f>
        <v>808/.00141</v>
      </c>
      <c r="P3407" t="b">
        <v>0</v>
      </c>
      <c r="R3407" t="str">
        <f>"9780870233272"</f>
        <v>9780870233272</v>
      </c>
      <c r="S3407" t="str">
        <f>"9780585186764"</f>
        <v>9780585186764</v>
      </c>
      <c r="T3407">
        <v>44959434</v>
      </c>
    </row>
    <row r="3408" spans="1:20" x14ac:dyDescent="0.25">
      <c r="A3408">
        <v>21977</v>
      </c>
      <c r="B3408" t="s">
        <v>16391</v>
      </c>
      <c r="D3408" t="s">
        <v>240</v>
      </c>
      <c r="E3408" t="s">
        <v>16392</v>
      </c>
      <c r="F3408">
        <v>1988</v>
      </c>
      <c r="G3408" t="s">
        <v>2203</v>
      </c>
      <c r="H3408" t="s">
        <v>16393</v>
      </c>
      <c r="I3408" t="s">
        <v>16394</v>
      </c>
      <c r="J3408" t="s">
        <v>26</v>
      </c>
      <c r="K3408" t="s">
        <v>27</v>
      </c>
      <c r="L3408" t="b">
        <v>1</v>
      </c>
      <c r="M3408" t="s">
        <v>16395</v>
      </c>
      <c r="N3408" t="str">
        <f>"813/.54"</f>
        <v>813/.54</v>
      </c>
      <c r="O3408" t="s">
        <v>16396</v>
      </c>
      <c r="P3408" t="b">
        <v>1</v>
      </c>
      <c r="T3408">
        <v>44960701</v>
      </c>
    </row>
    <row r="3409" spans="1:20" x14ac:dyDescent="0.25">
      <c r="A3409">
        <v>21135</v>
      </c>
      <c r="B3409" t="s">
        <v>16397</v>
      </c>
      <c r="C3409" t="s">
        <v>16398</v>
      </c>
      <c r="D3409" t="s">
        <v>10310</v>
      </c>
      <c r="E3409" t="s">
        <v>10310</v>
      </c>
      <c r="F3409">
        <v>1999</v>
      </c>
      <c r="G3409" t="s">
        <v>2203</v>
      </c>
      <c r="H3409" t="s">
        <v>16399</v>
      </c>
      <c r="J3409" t="s">
        <v>26</v>
      </c>
      <c r="K3409" t="s">
        <v>27</v>
      </c>
      <c r="L3409" t="b">
        <v>1</v>
      </c>
      <c r="M3409" t="s">
        <v>16099</v>
      </c>
      <c r="N3409" t="str">
        <f>"863"</f>
        <v>863</v>
      </c>
      <c r="P3409" t="b">
        <v>1</v>
      </c>
      <c r="R3409" t="str">
        <f>"9780826513441"</f>
        <v>9780826513441</v>
      </c>
      <c r="S3409" t="str">
        <f>"9780585253541"</f>
        <v>9780585253541</v>
      </c>
      <c r="T3409">
        <v>44965354</v>
      </c>
    </row>
    <row r="3410" spans="1:20" x14ac:dyDescent="0.25">
      <c r="A3410">
        <v>21134</v>
      </c>
      <c r="B3410" t="s">
        <v>16400</v>
      </c>
      <c r="D3410" t="s">
        <v>10310</v>
      </c>
      <c r="E3410" t="s">
        <v>10310</v>
      </c>
      <c r="F3410">
        <v>1998</v>
      </c>
      <c r="G3410" t="s">
        <v>2203</v>
      </c>
      <c r="H3410" t="s">
        <v>16401</v>
      </c>
      <c r="J3410" t="s">
        <v>26</v>
      </c>
      <c r="K3410" t="s">
        <v>27</v>
      </c>
      <c r="L3410" t="b">
        <v>1</v>
      </c>
      <c r="M3410" t="s">
        <v>16402</v>
      </c>
      <c r="N3410" t="str">
        <f>"863"</f>
        <v>863</v>
      </c>
      <c r="P3410" t="b">
        <v>1</v>
      </c>
      <c r="R3410" t="str">
        <f>"9780826512956"</f>
        <v>9780826512956</v>
      </c>
      <c r="S3410" t="str">
        <f>"9780585253497"</f>
        <v>9780585253497</v>
      </c>
      <c r="T3410">
        <v>44965323</v>
      </c>
    </row>
    <row r="3411" spans="1:20" x14ac:dyDescent="0.25">
      <c r="A3411">
        <v>17122</v>
      </c>
      <c r="B3411" t="s">
        <v>16403</v>
      </c>
      <c r="D3411" t="s">
        <v>16236</v>
      </c>
      <c r="E3411" t="s">
        <v>16236</v>
      </c>
      <c r="F3411">
        <v>1978</v>
      </c>
      <c r="G3411" t="s">
        <v>4753</v>
      </c>
      <c r="H3411" t="s">
        <v>16404</v>
      </c>
      <c r="I3411" t="s">
        <v>16405</v>
      </c>
      <c r="J3411" t="s">
        <v>26</v>
      </c>
      <c r="K3411" t="s">
        <v>27</v>
      </c>
      <c r="L3411" t="b">
        <v>1</v>
      </c>
      <c r="M3411" t="s">
        <v>16406</v>
      </c>
      <c r="N3411" t="str">
        <f>"301.24/2/0924"</f>
        <v>301.24/2/0924</v>
      </c>
      <c r="P3411" t="b">
        <v>0</v>
      </c>
      <c r="R3411" t="str">
        <f>"9780870231339"</f>
        <v>9780870231339</v>
      </c>
      <c r="S3411" t="str">
        <f>"9780585199702"</f>
        <v>9780585199702</v>
      </c>
      <c r="T3411">
        <v>44958909</v>
      </c>
    </row>
    <row r="3412" spans="1:20" x14ac:dyDescent="0.25">
      <c r="A3412">
        <v>17120</v>
      </c>
      <c r="B3412" t="s">
        <v>16403</v>
      </c>
      <c r="D3412" t="s">
        <v>16236</v>
      </c>
      <c r="E3412" t="s">
        <v>16236</v>
      </c>
      <c r="F3412">
        <v>1976</v>
      </c>
      <c r="G3412" t="s">
        <v>4753</v>
      </c>
      <c r="H3412" t="s">
        <v>16407</v>
      </c>
      <c r="I3412" t="s">
        <v>16405</v>
      </c>
      <c r="J3412" t="s">
        <v>26</v>
      </c>
      <c r="K3412" t="s">
        <v>27</v>
      </c>
      <c r="L3412" t="b">
        <v>1</v>
      </c>
      <c r="M3412" t="s">
        <v>16406</v>
      </c>
      <c r="N3412" t="str">
        <f>"301.24/2/0924;B"</f>
        <v>301.24/2/0924;B</v>
      </c>
      <c r="P3412" t="b">
        <v>0</v>
      </c>
      <c r="R3412" t="str">
        <f>"9780870231322"</f>
        <v>9780870231322</v>
      </c>
      <c r="S3412" t="str">
        <f>"9780585199696"</f>
        <v>9780585199696</v>
      </c>
      <c r="T3412">
        <v>44958846</v>
      </c>
    </row>
    <row r="3413" spans="1:20" x14ac:dyDescent="0.25">
      <c r="A3413">
        <v>17119</v>
      </c>
      <c r="B3413" t="s">
        <v>16408</v>
      </c>
      <c r="D3413" t="s">
        <v>16236</v>
      </c>
      <c r="E3413" t="s">
        <v>16236</v>
      </c>
      <c r="F3413">
        <v>1973</v>
      </c>
      <c r="G3413" t="s">
        <v>242</v>
      </c>
      <c r="H3413" t="s">
        <v>16409</v>
      </c>
      <c r="I3413" t="s">
        <v>16405</v>
      </c>
      <c r="J3413" t="s">
        <v>26</v>
      </c>
      <c r="K3413" t="s">
        <v>27</v>
      </c>
      <c r="L3413" t="b">
        <v>1</v>
      </c>
      <c r="M3413" t="s">
        <v>16406</v>
      </c>
      <c r="N3413" t="str">
        <f>"976.40"</f>
        <v>976.40</v>
      </c>
      <c r="O3413" t="s">
        <v>16408</v>
      </c>
      <c r="P3413" t="b">
        <v>0</v>
      </c>
      <c r="R3413" t="str">
        <f>"9780870231315"</f>
        <v>9780870231315</v>
      </c>
      <c r="S3413" t="str">
        <f>"9780585277721"</f>
        <v>9780585277721</v>
      </c>
      <c r="T3413">
        <v>45728032</v>
      </c>
    </row>
    <row r="3414" spans="1:20" x14ac:dyDescent="0.25">
      <c r="A3414">
        <v>16096</v>
      </c>
      <c r="B3414" t="s">
        <v>16410</v>
      </c>
      <c r="C3414" t="s">
        <v>16411</v>
      </c>
      <c r="D3414" t="s">
        <v>10310</v>
      </c>
      <c r="E3414" t="s">
        <v>10310</v>
      </c>
      <c r="F3414">
        <v>1998</v>
      </c>
      <c r="G3414" t="s">
        <v>12210</v>
      </c>
      <c r="H3414" t="s">
        <v>16412</v>
      </c>
      <c r="I3414" t="s">
        <v>16413</v>
      </c>
      <c r="J3414" t="s">
        <v>26</v>
      </c>
      <c r="K3414" t="s">
        <v>27</v>
      </c>
      <c r="L3414" t="b">
        <v>1</v>
      </c>
      <c r="M3414" t="s">
        <v>16414</v>
      </c>
      <c r="N3414" t="str">
        <f>"379.1/18/0973"</f>
        <v>379.1/18/0973</v>
      </c>
      <c r="O3414" t="s">
        <v>16069</v>
      </c>
      <c r="P3414" t="b">
        <v>0</v>
      </c>
      <c r="R3414" t="str">
        <f>"9780826513168"</f>
        <v>9780826513168</v>
      </c>
      <c r="S3414" t="str">
        <f>"9780585146867"</f>
        <v>9780585146867</v>
      </c>
      <c r="T3414">
        <v>44959591</v>
      </c>
    </row>
    <row r="3415" spans="1:20" x14ac:dyDescent="0.25">
      <c r="A3415">
        <v>16095</v>
      </c>
      <c r="B3415" t="s">
        <v>16415</v>
      </c>
      <c r="C3415" t="s">
        <v>16416</v>
      </c>
      <c r="D3415" t="s">
        <v>10310</v>
      </c>
      <c r="E3415" t="s">
        <v>10310</v>
      </c>
      <c r="F3415">
        <v>1994</v>
      </c>
      <c r="G3415" t="s">
        <v>2355</v>
      </c>
      <c r="H3415" t="s">
        <v>16417</v>
      </c>
      <c r="I3415" t="s">
        <v>16418</v>
      </c>
      <c r="J3415" t="s">
        <v>26</v>
      </c>
      <c r="K3415" t="s">
        <v>27</v>
      </c>
      <c r="L3415" t="b">
        <v>1</v>
      </c>
      <c r="M3415" t="s">
        <v>16419</v>
      </c>
      <c r="N3415" t="str">
        <f>"780/.92"</f>
        <v>780/.92</v>
      </c>
      <c r="P3415" t="b">
        <v>0</v>
      </c>
      <c r="R3415" t="str">
        <f>"9780826512581"</f>
        <v>9780826512581</v>
      </c>
      <c r="S3415" t="str">
        <f>"9780585120799"</f>
        <v>9780585120799</v>
      </c>
      <c r="T3415">
        <v>44959557</v>
      </c>
    </row>
    <row r="3416" spans="1:20" x14ac:dyDescent="0.25">
      <c r="A3416">
        <v>16094</v>
      </c>
      <c r="B3416" t="s">
        <v>16420</v>
      </c>
      <c r="D3416" t="s">
        <v>10310</v>
      </c>
      <c r="E3416" t="s">
        <v>10310</v>
      </c>
      <c r="F3416">
        <v>1999</v>
      </c>
      <c r="G3416" t="s">
        <v>4483</v>
      </c>
      <c r="H3416" t="s">
        <v>16421</v>
      </c>
      <c r="I3416" t="s">
        <v>16422</v>
      </c>
      <c r="J3416" t="s">
        <v>26</v>
      </c>
      <c r="K3416" t="s">
        <v>27</v>
      </c>
      <c r="L3416" t="b">
        <v>1</v>
      </c>
      <c r="M3416" t="s">
        <v>16423</v>
      </c>
      <c r="N3416" t="str">
        <f>"191;B"</f>
        <v>191;B</v>
      </c>
      <c r="O3416" t="s">
        <v>15218</v>
      </c>
      <c r="P3416" t="b">
        <v>0</v>
      </c>
      <c r="R3416" t="str">
        <f>"9780826513229"</f>
        <v>9780826513229</v>
      </c>
      <c r="S3416" t="str">
        <f>"9780585146850"</f>
        <v>9780585146850</v>
      </c>
      <c r="T3416">
        <v>44959516</v>
      </c>
    </row>
    <row r="3417" spans="1:20" x14ac:dyDescent="0.25">
      <c r="A3417">
        <v>16093</v>
      </c>
      <c r="B3417" t="s">
        <v>16424</v>
      </c>
      <c r="C3417" t="s">
        <v>16425</v>
      </c>
      <c r="D3417" t="s">
        <v>10310</v>
      </c>
      <c r="E3417" t="s">
        <v>10310</v>
      </c>
      <c r="F3417">
        <v>1999</v>
      </c>
      <c r="G3417" t="s">
        <v>4060</v>
      </c>
      <c r="H3417" t="s">
        <v>16426</v>
      </c>
      <c r="I3417" t="s">
        <v>16427</v>
      </c>
      <c r="J3417" t="s">
        <v>26</v>
      </c>
      <c r="K3417" t="s">
        <v>27</v>
      </c>
      <c r="L3417" t="b">
        <v>1</v>
      </c>
      <c r="M3417" t="s">
        <v>16428</v>
      </c>
      <c r="N3417" t="str">
        <f>"320.1/2"</f>
        <v>320.1/2</v>
      </c>
      <c r="P3417" t="b">
        <v>0</v>
      </c>
      <c r="R3417" t="str">
        <f>"9780826513113"</f>
        <v>9780826513113</v>
      </c>
      <c r="S3417" t="str">
        <f>"9780585154343"</f>
        <v>9780585154343</v>
      </c>
      <c r="T3417">
        <v>43477245</v>
      </c>
    </row>
    <row r="3418" spans="1:20" x14ac:dyDescent="0.25">
      <c r="A3418">
        <v>16091</v>
      </c>
      <c r="B3418" t="s">
        <v>16429</v>
      </c>
      <c r="D3418" t="s">
        <v>10310</v>
      </c>
      <c r="E3418" t="s">
        <v>10310</v>
      </c>
      <c r="F3418">
        <v>1998</v>
      </c>
      <c r="G3418" t="s">
        <v>2203</v>
      </c>
      <c r="H3418" t="s">
        <v>16430</v>
      </c>
      <c r="I3418" t="s">
        <v>16431</v>
      </c>
      <c r="J3418" t="s">
        <v>26</v>
      </c>
      <c r="K3418" t="s">
        <v>27</v>
      </c>
      <c r="L3418" t="b">
        <v>1</v>
      </c>
      <c r="M3418" t="s">
        <v>16432</v>
      </c>
      <c r="N3418" t="str">
        <f>"843/.3"</f>
        <v>843/.3</v>
      </c>
      <c r="P3418" t="b">
        <v>1</v>
      </c>
      <c r="R3418" t="str">
        <f>"9780826513069"</f>
        <v>9780826513069</v>
      </c>
      <c r="S3418" t="str">
        <f>"9780585177533"</f>
        <v>9780585177533</v>
      </c>
      <c r="T3418">
        <v>44959481</v>
      </c>
    </row>
    <row r="3419" spans="1:20" x14ac:dyDescent="0.25">
      <c r="A3419">
        <v>16090</v>
      </c>
      <c r="B3419" t="s">
        <v>16433</v>
      </c>
      <c r="C3419" t="s">
        <v>16434</v>
      </c>
      <c r="D3419" t="s">
        <v>10310</v>
      </c>
      <c r="E3419" t="s">
        <v>10310</v>
      </c>
      <c r="F3419">
        <v>1997</v>
      </c>
      <c r="G3419" t="s">
        <v>16435</v>
      </c>
      <c r="H3419" t="s">
        <v>16436</v>
      </c>
      <c r="I3419" t="s">
        <v>16437</v>
      </c>
      <c r="J3419" t="s">
        <v>26</v>
      </c>
      <c r="K3419" t="s">
        <v>27</v>
      </c>
      <c r="L3419" t="b">
        <v>1</v>
      </c>
      <c r="M3419" t="s">
        <v>16438</v>
      </c>
      <c r="N3419" t="str">
        <f>"979.4/05"</f>
        <v>979.4/05</v>
      </c>
      <c r="P3419" t="b">
        <v>0</v>
      </c>
      <c r="R3419" t="str">
        <f>"9780826512987"</f>
        <v>9780826512987</v>
      </c>
      <c r="S3419" t="str">
        <f>"9780585170930"</f>
        <v>9780585170930</v>
      </c>
      <c r="T3419">
        <v>44959444</v>
      </c>
    </row>
    <row r="3420" spans="1:20" x14ac:dyDescent="0.25">
      <c r="A3420">
        <v>16089</v>
      </c>
      <c r="B3420" t="s">
        <v>16439</v>
      </c>
      <c r="C3420" t="s">
        <v>16440</v>
      </c>
      <c r="D3420" t="s">
        <v>10310</v>
      </c>
      <c r="E3420" t="s">
        <v>10310</v>
      </c>
      <c r="F3420">
        <v>1998</v>
      </c>
      <c r="G3420" t="s">
        <v>4483</v>
      </c>
      <c r="H3420" t="s">
        <v>16441</v>
      </c>
      <c r="I3420" t="s">
        <v>16442</v>
      </c>
      <c r="J3420" t="s">
        <v>26</v>
      </c>
      <c r="K3420" t="s">
        <v>27</v>
      </c>
      <c r="L3420" t="b">
        <v>1</v>
      </c>
      <c r="M3420" t="s">
        <v>16443</v>
      </c>
      <c r="N3420" t="str">
        <f>"191"</f>
        <v>191</v>
      </c>
      <c r="O3420" t="s">
        <v>15218</v>
      </c>
      <c r="P3420" t="b">
        <v>0</v>
      </c>
      <c r="R3420" t="str">
        <f>"9780826513199"</f>
        <v>9780826513199</v>
      </c>
      <c r="S3420" t="str">
        <f>"9780585146843"</f>
        <v>9780585146843</v>
      </c>
      <c r="T3420">
        <v>44959405</v>
      </c>
    </row>
    <row r="3421" spans="1:20" x14ac:dyDescent="0.25">
      <c r="A3421">
        <v>16088</v>
      </c>
      <c r="B3421" t="s">
        <v>16444</v>
      </c>
      <c r="C3421" t="s">
        <v>16445</v>
      </c>
      <c r="D3421" t="s">
        <v>10310</v>
      </c>
      <c r="E3421" t="s">
        <v>10310</v>
      </c>
      <c r="F3421">
        <v>1998</v>
      </c>
      <c r="G3421" t="s">
        <v>16446</v>
      </c>
      <c r="H3421" t="s">
        <v>16447</v>
      </c>
      <c r="I3421" t="s">
        <v>16448</v>
      </c>
      <c r="J3421" t="s">
        <v>26</v>
      </c>
      <c r="K3421" t="s">
        <v>27</v>
      </c>
      <c r="L3421" t="b">
        <v>1</v>
      </c>
      <c r="M3421" t="s">
        <v>16449</v>
      </c>
      <c r="N3421" t="str">
        <f>"781.642"</f>
        <v>781.642</v>
      </c>
      <c r="P3421" t="b">
        <v>0</v>
      </c>
      <c r="R3421" t="str">
        <f>"9780826513144"</f>
        <v>9780826513144</v>
      </c>
      <c r="S3421" t="str">
        <f>"9780585146836"</f>
        <v>9780585146836</v>
      </c>
      <c r="T3421">
        <v>44959370</v>
      </c>
    </row>
    <row r="3422" spans="1:20" x14ac:dyDescent="0.25">
      <c r="A3422">
        <v>14590</v>
      </c>
      <c r="B3422" t="s">
        <v>16450</v>
      </c>
      <c r="C3422" t="s">
        <v>16451</v>
      </c>
      <c r="D3422" t="s">
        <v>16230</v>
      </c>
      <c r="E3422" t="s">
        <v>16230</v>
      </c>
      <c r="F3422">
        <v>1996</v>
      </c>
      <c r="G3422" t="s">
        <v>2097</v>
      </c>
      <c r="H3422" t="s">
        <v>16452</v>
      </c>
      <c r="I3422" t="s">
        <v>16453</v>
      </c>
      <c r="J3422" t="s">
        <v>26</v>
      </c>
      <c r="K3422" t="s">
        <v>27</v>
      </c>
      <c r="L3422" t="b">
        <v>1</v>
      </c>
      <c r="M3422" t="s">
        <v>16454</v>
      </c>
      <c r="N3422" t="str">
        <f>"658.3/82"</f>
        <v>658.3/82</v>
      </c>
      <c r="O3422" t="s">
        <v>16455</v>
      </c>
      <c r="P3422" t="b">
        <v>0</v>
      </c>
      <c r="R3422" t="str">
        <f>"9781577304500"</f>
        <v>9781577304500</v>
      </c>
      <c r="S3422" t="str">
        <f>"9780585210612"</f>
        <v>9780585210612</v>
      </c>
      <c r="T3422">
        <v>44961003</v>
      </c>
    </row>
    <row r="3423" spans="1:20" x14ac:dyDescent="0.25">
      <c r="A3423">
        <v>14589</v>
      </c>
      <c r="B3423" t="s">
        <v>16456</v>
      </c>
      <c r="C3423" t="s">
        <v>16451</v>
      </c>
      <c r="D3423" t="s">
        <v>16230</v>
      </c>
      <c r="E3423" t="s">
        <v>16230</v>
      </c>
      <c r="F3423">
        <v>1996</v>
      </c>
      <c r="G3423" t="s">
        <v>16457</v>
      </c>
      <c r="H3423" t="s">
        <v>16458</v>
      </c>
      <c r="I3423" t="s">
        <v>16459</v>
      </c>
      <c r="J3423" t="s">
        <v>26</v>
      </c>
      <c r="K3423" t="s">
        <v>27</v>
      </c>
      <c r="L3423" t="b">
        <v>1</v>
      </c>
      <c r="M3423" t="s">
        <v>16460</v>
      </c>
      <c r="N3423" t="str">
        <f>"658.2/4"</f>
        <v>658.2/4</v>
      </c>
      <c r="O3423" t="s">
        <v>16455</v>
      </c>
      <c r="P3423" t="b">
        <v>0</v>
      </c>
      <c r="R3423" t="str">
        <f>"9781577304258"</f>
        <v>9781577304258</v>
      </c>
      <c r="S3423" t="str">
        <f>"9780585229836"</f>
        <v>9780585229836</v>
      </c>
      <c r="T3423">
        <v>44960964</v>
      </c>
    </row>
    <row r="3424" spans="1:20" x14ac:dyDescent="0.25">
      <c r="A3424">
        <v>14588</v>
      </c>
      <c r="B3424" t="s">
        <v>16461</v>
      </c>
      <c r="C3424" t="s">
        <v>16451</v>
      </c>
      <c r="D3424" t="s">
        <v>16230</v>
      </c>
      <c r="E3424" t="s">
        <v>16230</v>
      </c>
      <c r="F3424">
        <v>1996</v>
      </c>
      <c r="G3424" t="s">
        <v>16462</v>
      </c>
      <c r="H3424" t="s">
        <v>16463</v>
      </c>
      <c r="I3424" t="s">
        <v>16464</v>
      </c>
      <c r="J3424" t="s">
        <v>26</v>
      </c>
      <c r="K3424" t="s">
        <v>27</v>
      </c>
      <c r="L3424" t="b">
        <v>1</v>
      </c>
      <c r="M3424" t="s">
        <v>16465</v>
      </c>
      <c r="N3424" t="str">
        <f>"696/.1"</f>
        <v>696/.1</v>
      </c>
      <c r="O3424" t="s">
        <v>16455</v>
      </c>
      <c r="P3424" t="b">
        <v>0</v>
      </c>
      <c r="R3424" t="str">
        <f>"9781577303008"</f>
        <v>9781577303008</v>
      </c>
      <c r="S3424" t="str">
        <f>"9780585213637"</f>
        <v>9780585213637</v>
      </c>
      <c r="T3424">
        <v>44960924</v>
      </c>
    </row>
    <row r="3425" spans="1:20" x14ac:dyDescent="0.25">
      <c r="A3425">
        <v>14585</v>
      </c>
      <c r="B3425" t="s">
        <v>16466</v>
      </c>
      <c r="C3425" t="s">
        <v>16451</v>
      </c>
      <c r="D3425" t="s">
        <v>16230</v>
      </c>
      <c r="E3425" t="s">
        <v>16230</v>
      </c>
      <c r="F3425">
        <v>1996</v>
      </c>
      <c r="G3425" t="s">
        <v>6619</v>
      </c>
      <c r="H3425" t="s">
        <v>16467</v>
      </c>
      <c r="I3425" t="s">
        <v>16468</v>
      </c>
      <c r="J3425" t="s">
        <v>26</v>
      </c>
      <c r="K3425" t="s">
        <v>27</v>
      </c>
      <c r="L3425" t="b">
        <v>1</v>
      </c>
      <c r="M3425" t="s">
        <v>16454</v>
      </c>
      <c r="N3425" t="str">
        <f>"363.34"</f>
        <v>363.34</v>
      </c>
      <c r="P3425" t="b">
        <v>0</v>
      </c>
      <c r="R3425" t="str">
        <f>"9781577302001"</f>
        <v>9781577302001</v>
      </c>
      <c r="S3425" t="str">
        <f>"9780585293134"</f>
        <v>9780585293134</v>
      </c>
      <c r="T3425">
        <v>45733855</v>
      </c>
    </row>
    <row r="3426" spans="1:20" x14ac:dyDescent="0.25">
      <c r="A3426">
        <v>14584</v>
      </c>
      <c r="B3426" t="s">
        <v>16469</v>
      </c>
      <c r="C3426" t="s">
        <v>16451</v>
      </c>
      <c r="D3426" t="s">
        <v>16230</v>
      </c>
      <c r="E3426" t="s">
        <v>16230</v>
      </c>
      <c r="F3426">
        <v>1996</v>
      </c>
      <c r="G3426" t="s">
        <v>9274</v>
      </c>
      <c r="H3426" t="s">
        <v>16470</v>
      </c>
      <c r="I3426" t="s">
        <v>16471</v>
      </c>
      <c r="J3426" t="s">
        <v>26</v>
      </c>
      <c r="K3426" t="s">
        <v>27</v>
      </c>
      <c r="L3426" t="b">
        <v>1</v>
      </c>
      <c r="M3426" t="s">
        <v>16472</v>
      </c>
      <c r="N3426" t="str">
        <f>"628.9/22"</f>
        <v>628.9/22</v>
      </c>
      <c r="O3426" t="s">
        <v>16455</v>
      </c>
      <c r="P3426" t="b">
        <v>0</v>
      </c>
      <c r="R3426" t="str">
        <f>"9781577301004"</f>
        <v>9781577301004</v>
      </c>
      <c r="S3426" t="str">
        <f>"9780585224732"</f>
        <v>9780585224732</v>
      </c>
      <c r="T3426">
        <v>44960849</v>
      </c>
    </row>
    <row r="3427" spans="1:20" x14ac:dyDescent="0.25">
      <c r="A3427">
        <v>14581</v>
      </c>
      <c r="B3427" t="s">
        <v>16473</v>
      </c>
      <c r="C3427" t="s">
        <v>16451</v>
      </c>
      <c r="D3427" t="s">
        <v>16230</v>
      </c>
      <c r="E3427" t="s">
        <v>16230</v>
      </c>
      <c r="F3427">
        <v>1996</v>
      </c>
      <c r="G3427" t="s">
        <v>10919</v>
      </c>
      <c r="H3427" t="s">
        <v>16474</v>
      </c>
      <c r="I3427" t="s">
        <v>16475</v>
      </c>
      <c r="J3427" t="s">
        <v>26</v>
      </c>
      <c r="K3427" t="s">
        <v>27</v>
      </c>
      <c r="L3427" t="b">
        <v>1</v>
      </c>
      <c r="M3427" t="s">
        <v>16476</v>
      </c>
      <c r="N3427" t="str">
        <f>"697"</f>
        <v>697</v>
      </c>
      <c r="O3427" t="s">
        <v>16455</v>
      </c>
      <c r="P3427" t="b">
        <v>0</v>
      </c>
      <c r="R3427" t="str">
        <f>"9781577300007"</f>
        <v>9781577300007</v>
      </c>
      <c r="S3427" t="str">
        <f>"9780585202075"</f>
        <v>9780585202075</v>
      </c>
      <c r="T3427">
        <v>44960772</v>
      </c>
    </row>
    <row r="3428" spans="1:20" x14ac:dyDescent="0.25">
      <c r="A3428">
        <v>14580</v>
      </c>
      <c r="B3428" t="s">
        <v>16477</v>
      </c>
      <c r="D3428" t="s">
        <v>16230</v>
      </c>
      <c r="E3428" t="s">
        <v>16230</v>
      </c>
      <c r="F3428">
        <v>1998</v>
      </c>
      <c r="G3428" t="s">
        <v>394</v>
      </c>
      <c r="H3428" t="s">
        <v>16478</v>
      </c>
      <c r="I3428" t="s">
        <v>16479</v>
      </c>
      <c r="J3428" t="s">
        <v>26</v>
      </c>
      <c r="K3428" t="s">
        <v>27</v>
      </c>
      <c r="L3428" t="b">
        <v>1</v>
      </c>
      <c r="M3428" t="s">
        <v>16480</v>
      </c>
      <c r="N3428" t="str">
        <f>"621.1/97"</f>
        <v>621.1/97</v>
      </c>
      <c r="P3428" t="b">
        <v>0</v>
      </c>
      <c r="R3428" t="str">
        <f>"9780881732535"</f>
        <v>9780881732535</v>
      </c>
      <c r="S3428" t="str">
        <f>"9780585100012"</f>
        <v>9780585100012</v>
      </c>
      <c r="T3428">
        <v>44960735</v>
      </c>
    </row>
    <row r="3429" spans="1:20" x14ac:dyDescent="0.25">
      <c r="A3429">
        <v>14578</v>
      </c>
      <c r="B3429" t="s">
        <v>16481</v>
      </c>
      <c r="D3429" t="s">
        <v>16230</v>
      </c>
      <c r="E3429" t="s">
        <v>16230</v>
      </c>
      <c r="F3429">
        <v>1999</v>
      </c>
      <c r="G3429" t="s">
        <v>9791</v>
      </c>
      <c r="H3429" t="s">
        <v>16482</v>
      </c>
      <c r="I3429" t="s">
        <v>16483</v>
      </c>
      <c r="J3429" t="s">
        <v>26</v>
      </c>
      <c r="K3429" t="s">
        <v>27</v>
      </c>
      <c r="L3429" t="b">
        <v>1</v>
      </c>
      <c r="M3429" t="s">
        <v>16484</v>
      </c>
      <c r="N3429" t="str">
        <f>"629.8/043"</f>
        <v>629.8/043</v>
      </c>
      <c r="P3429" t="b">
        <v>0</v>
      </c>
      <c r="R3429" t="str">
        <f>"9780881733129"</f>
        <v>9780881733129</v>
      </c>
      <c r="S3429" t="str">
        <f>"9780585119816"</f>
        <v>9780585119816</v>
      </c>
      <c r="T3429">
        <v>44960664</v>
      </c>
    </row>
    <row r="3430" spans="1:20" x14ac:dyDescent="0.25">
      <c r="A3430">
        <v>14577</v>
      </c>
      <c r="B3430" t="s">
        <v>16485</v>
      </c>
      <c r="D3430" t="s">
        <v>16230</v>
      </c>
      <c r="E3430" t="s">
        <v>16230</v>
      </c>
      <c r="F3430">
        <v>1999</v>
      </c>
      <c r="G3430" t="s">
        <v>11258</v>
      </c>
      <c r="H3430" t="s">
        <v>16486</v>
      </c>
      <c r="I3430" t="s">
        <v>16487</v>
      </c>
      <c r="J3430" t="s">
        <v>26</v>
      </c>
      <c r="K3430" t="s">
        <v>27</v>
      </c>
      <c r="L3430" t="b">
        <v>1</v>
      </c>
      <c r="M3430" t="s">
        <v>16488</v>
      </c>
      <c r="N3430" t="str">
        <f>"621.31/4"</f>
        <v>621.31/4</v>
      </c>
      <c r="P3430" t="b">
        <v>0</v>
      </c>
      <c r="R3430" t="str">
        <f>"9780881733112"</f>
        <v>9780881733112</v>
      </c>
      <c r="S3430" t="str">
        <f>"9780585120737"</f>
        <v>9780585120737</v>
      </c>
      <c r="T3430">
        <v>44960628</v>
      </c>
    </row>
    <row r="3431" spans="1:20" x14ac:dyDescent="0.25">
      <c r="A3431">
        <v>14576</v>
      </c>
      <c r="B3431" t="s">
        <v>16489</v>
      </c>
      <c r="D3431" t="s">
        <v>16230</v>
      </c>
      <c r="E3431" t="s">
        <v>16230</v>
      </c>
      <c r="F3431">
        <v>1999</v>
      </c>
      <c r="G3431" t="s">
        <v>16490</v>
      </c>
      <c r="H3431" t="s">
        <v>16491</v>
      </c>
      <c r="I3431" t="s">
        <v>16492</v>
      </c>
      <c r="J3431" t="s">
        <v>26</v>
      </c>
      <c r="K3431" t="s">
        <v>27</v>
      </c>
      <c r="L3431" t="b">
        <v>1</v>
      </c>
      <c r="M3431" t="s">
        <v>16484</v>
      </c>
      <c r="N3431" t="str">
        <f>"621.8/5"</f>
        <v>621.8/5</v>
      </c>
      <c r="P3431" t="b">
        <v>0</v>
      </c>
      <c r="R3431" t="str">
        <f>"9780881733105"</f>
        <v>9780881733105</v>
      </c>
      <c r="S3431" t="str">
        <f>"9780585198040"</f>
        <v>9780585198040</v>
      </c>
      <c r="T3431">
        <v>44960590</v>
      </c>
    </row>
    <row r="3432" spans="1:20" x14ac:dyDescent="0.25">
      <c r="A3432">
        <v>14575</v>
      </c>
      <c r="B3432" t="s">
        <v>16493</v>
      </c>
      <c r="D3432" t="s">
        <v>16230</v>
      </c>
      <c r="E3432" t="s">
        <v>16230</v>
      </c>
      <c r="F3432">
        <v>1999</v>
      </c>
      <c r="G3432" t="s">
        <v>6872</v>
      </c>
      <c r="H3432" t="s">
        <v>16494</v>
      </c>
      <c r="I3432" t="s">
        <v>16495</v>
      </c>
      <c r="J3432" t="s">
        <v>26</v>
      </c>
      <c r="K3432" t="s">
        <v>27</v>
      </c>
      <c r="L3432" t="b">
        <v>1</v>
      </c>
      <c r="M3432" t="s">
        <v>16496</v>
      </c>
      <c r="P3432" t="b">
        <v>0</v>
      </c>
      <c r="R3432" t="str">
        <f>"9780881733082"</f>
        <v>9780881733082</v>
      </c>
      <c r="S3432" t="str">
        <f>"9780585193793"</f>
        <v>9780585193793</v>
      </c>
      <c r="T3432">
        <v>44960548</v>
      </c>
    </row>
    <row r="3433" spans="1:20" x14ac:dyDescent="0.25">
      <c r="A3433">
        <v>14573</v>
      </c>
      <c r="B3433" t="s">
        <v>16497</v>
      </c>
      <c r="D3433" t="s">
        <v>16230</v>
      </c>
      <c r="E3433" t="s">
        <v>16230</v>
      </c>
      <c r="F3433">
        <v>1999</v>
      </c>
      <c r="G3433" t="s">
        <v>540</v>
      </c>
      <c r="H3433" t="s">
        <v>16498</v>
      </c>
      <c r="I3433" t="s">
        <v>16499</v>
      </c>
      <c r="J3433" t="s">
        <v>26</v>
      </c>
      <c r="K3433" t="s">
        <v>27</v>
      </c>
      <c r="L3433" t="b">
        <v>1</v>
      </c>
      <c r="M3433" t="s">
        <v>16500</v>
      </c>
      <c r="N3433" t="str">
        <f>"363.739/2"</f>
        <v>363.739/2</v>
      </c>
      <c r="P3433" t="b">
        <v>0</v>
      </c>
      <c r="R3433" t="str">
        <f>"9780881733051"</f>
        <v>9780881733051</v>
      </c>
      <c r="S3433" t="str">
        <f>"9780585193786"</f>
        <v>9780585193786</v>
      </c>
      <c r="T3433">
        <v>44960477</v>
      </c>
    </row>
    <row r="3434" spans="1:20" x14ac:dyDescent="0.25">
      <c r="A3434">
        <v>14572</v>
      </c>
      <c r="B3434" t="s">
        <v>16501</v>
      </c>
      <c r="D3434" t="s">
        <v>16230</v>
      </c>
      <c r="E3434" t="s">
        <v>16230</v>
      </c>
      <c r="F3434">
        <v>1999</v>
      </c>
      <c r="G3434" t="s">
        <v>16457</v>
      </c>
      <c r="H3434" t="s">
        <v>16502</v>
      </c>
      <c r="I3434" t="s">
        <v>16503</v>
      </c>
      <c r="J3434" t="s">
        <v>26</v>
      </c>
      <c r="K3434" t="s">
        <v>27</v>
      </c>
      <c r="L3434" t="b">
        <v>1</v>
      </c>
      <c r="M3434" t="s">
        <v>16504</v>
      </c>
      <c r="N3434" t="str">
        <f>"658.2/6"</f>
        <v>658.2/6</v>
      </c>
      <c r="P3434" t="b">
        <v>0</v>
      </c>
      <c r="R3434" t="str">
        <f>"9780881733044"</f>
        <v>9780881733044</v>
      </c>
      <c r="S3434" t="str">
        <f>"9780585193779"</f>
        <v>9780585193779</v>
      </c>
      <c r="T3434">
        <v>44960437</v>
      </c>
    </row>
    <row r="3435" spans="1:20" x14ac:dyDescent="0.25">
      <c r="A3435">
        <v>14571</v>
      </c>
      <c r="B3435" t="s">
        <v>16505</v>
      </c>
      <c r="C3435" t="s">
        <v>16506</v>
      </c>
      <c r="D3435" t="s">
        <v>16230</v>
      </c>
      <c r="E3435" t="s">
        <v>16230</v>
      </c>
      <c r="F3435">
        <v>1998</v>
      </c>
      <c r="G3435" t="s">
        <v>16507</v>
      </c>
      <c r="H3435" t="s">
        <v>16508</v>
      </c>
      <c r="I3435" t="s">
        <v>16509</v>
      </c>
      <c r="J3435" t="s">
        <v>26</v>
      </c>
      <c r="K3435" t="s">
        <v>27</v>
      </c>
      <c r="L3435" t="b">
        <v>1</v>
      </c>
      <c r="M3435" t="s">
        <v>16510</v>
      </c>
      <c r="N3435" t="str">
        <f>"338.4/73337932/0973"</f>
        <v>338.4/73337932/0973</v>
      </c>
      <c r="P3435" t="b">
        <v>0</v>
      </c>
      <c r="R3435" t="str">
        <f>"9780881733006"</f>
        <v>9780881733006</v>
      </c>
      <c r="S3435" t="str">
        <f>"9780585118772"</f>
        <v>9780585118772</v>
      </c>
      <c r="T3435">
        <v>44960404</v>
      </c>
    </row>
    <row r="3436" spans="1:20" x14ac:dyDescent="0.25">
      <c r="A3436">
        <v>14570</v>
      </c>
      <c r="B3436" t="s">
        <v>16511</v>
      </c>
      <c r="D3436" t="s">
        <v>16230</v>
      </c>
      <c r="E3436" t="s">
        <v>16230</v>
      </c>
      <c r="F3436">
        <v>1999</v>
      </c>
      <c r="G3436" t="s">
        <v>7294</v>
      </c>
      <c r="H3436" t="s">
        <v>16512</v>
      </c>
      <c r="I3436" t="s">
        <v>16513</v>
      </c>
      <c r="J3436" t="s">
        <v>26</v>
      </c>
      <c r="K3436" t="s">
        <v>27</v>
      </c>
      <c r="L3436" t="b">
        <v>1</v>
      </c>
      <c r="M3436" t="s">
        <v>16514</v>
      </c>
      <c r="N3436" t="str">
        <f>"665.7"</f>
        <v>665.7</v>
      </c>
      <c r="P3436" t="b">
        <v>0</v>
      </c>
      <c r="R3436" t="str">
        <f>"9780881732993"</f>
        <v>9780881732993</v>
      </c>
      <c r="S3436" t="str">
        <f>"9780585193762"</f>
        <v>9780585193762</v>
      </c>
      <c r="T3436">
        <v>44960373</v>
      </c>
    </row>
    <row r="3437" spans="1:20" x14ac:dyDescent="0.25">
      <c r="A3437">
        <v>14569</v>
      </c>
      <c r="B3437" t="s">
        <v>16515</v>
      </c>
      <c r="D3437" t="s">
        <v>16230</v>
      </c>
      <c r="E3437" t="s">
        <v>16230</v>
      </c>
      <c r="F3437">
        <v>1998</v>
      </c>
      <c r="G3437" t="s">
        <v>16457</v>
      </c>
      <c r="H3437" t="s">
        <v>16516</v>
      </c>
      <c r="I3437" t="s">
        <v>16517</v>
      </c>
      <c r="J3437" t="s">
        <v>26</v>
      </c>
      <c r="K3437" t="s">
        <v>27</v>
      </c>
      <c r="L3437" t="b">
        <v>1</v>
      </c>
      <c r="M3437" t="s">
        <v>16504</v>
      </c>
      <c r="N3437" t="str">
        <f>"658.2/6"</f>
        <v>658.2/6</v>
      </c>
      <c r="P3437" t="b">
        <v>0</v>
      </c>
      <c r="R3437" t="str">
        <f>"9780881732948"</f>
        <v>9780881732948</v>
      </c>
      <c r="S3437" t="str">
        <f>"9780585144252"</f>
        <v>9780585144252</v>
      </c>
      <c r="T3437">
        <v>45842447</v>
      </c>
    </row>
    <row r="3438" spans="1:20" x14ac:dyDescent="0.25">
      <c r="A3438">
        <v>14567</v>
      </c>
      <c r="B3438" t="s">
        <v>16518</v>
      </c>
      <c r="C3438" t="s">
        <v>16519</v>
      </c>
      <c r="D3438" t="s">
        <v>16230</v>
      </c>
      <c r="E3438" t="s">
        <v>16230</v>
      </c>
      <c r="F3438">
        <v>1999</v>
      </c>
      <c r="G3438" t="s">
        <v>16457</v>
      </c>
      <c r="H3438" t="s">
        <v>16520</v>
      </c>
      <c r="I3438" t="s">
        <v>16521</v>
      </c>
      <c r="J3438" t="s">
        <v>26</v>
      </c>
      <c r="K3438" t="s">
        <v>27</v>
      </c>
      <c r="L3438" t="b">
        <v>1</v>
      </c>
      <c r="M3438" t="s">
        <v>16522</v>
      </c>
      <c r="N3438" t="str">
        <f>"658.2"</f>
        <v>658.2</v>
      </c>
      <c r="P3438" t="b">
        <v>0</v>
      </c>
      <c r="R3438" t="str">
        <f>"9780881732900"</f>
        <v>9780881732900</v>
      </c>
      <c r="S3438" t="str">
        <f>"9780585144238"</f>
        <v>9780585144238</v>
      </c>
      <c r="T3438">
        <v>44960304</v>
      </c>
    </row>
    <row r="3439" spans="1:20" x14ac:dyDescent="0.25">
      <c r="A3439">
        <v>14566</v>
      </c>
      <c r="B3439" t="s">
        <v>16523</v>
      </c>
      <c r="D3439" t="s">
        <v>16230</v>
      </c>
      <c r="E3439" t="s">
        <v>16230</v>
      </c>
      <c r="F3439">
        <v>1997</v>
      </c>
      <c r="G3439" t="s">
        <v>6872</v>
      </c>
      <c r="H3439" t="s">
        <v>16524</v>
      </c>
      <c r="I3439" t="s">
        <v>16525</v>
      </c>
      <c r="J3439" t="s">
        <v>26</v>
      </c>
      <c r="K3439" t="s">
        <v>27</v>
      </c>
      <c r="L3439" t="b">
        <v>1</v>
      </c>
      <c r="M3439" t="s">
        <v>16526</v>
      </c>
      <c r="N3439" t="str">
        <f>"333.79"</f>
        <v>333.79</v>
      </c>
      <c r="P3439" t="b">
        <v>0</v>
      </c>
      <c r="R3439" t="str">
        <f>"9780881732894"</f>
        <v>9780881732894</v>
      </c>
      <c r="S3439" t="str">
        <f>"9780585360423"</f>
        <v>9780585360423</v>
      </c>
      <c r="T3439">
        <v>47010693</v>
      </c>
    </row>
    <row r="3440" spans="1:20" x14ac:dyDescent="0.25">
      <c r="A3440">
        <v>14565</v>
      </c>
      <c r="B3440" t="s">
        <v>16527</v>
      </c>
      <c r="D3440" t="s">
        <v>16230</v>
      </c>
      <c r="E3440" t="s">
        <v>16230</v>
      </c>
      <c r="F3440">
        <v>1998</v>
      </c>
      <c r="G3440" t="s">
        <v>9553</v>
      </c>
      <c r="H3440" t="s">
        <v>16528</v>
      </c>
      <c r="I3440" t="s">
        <v>16529</v>
      </c>
      <c r="J3440" t="s">
        <v>26</v>
      </c>
      <c r="K3440" t="s">
        <v>27</v>
      </c>
      <c r="L3440" t="b">
        <v>1</v>
      </c>
      <c r="M3440" t="s">
        <v>16530</v>
      </c>
      <c r="N3440" t="str">
        <f>"620.1/183/0724"</f>
        <v>620.1/183/0724</v>
      </c>
      <c r="P3440" t="b">
        <v>0</v>
      </c>
      <c r="R3440" t="str">
        <f>"9780881732849"</f>
        <v>9780881732849</v>
      </c>
      <c r="S3440" t="str">
        <f>"9780585220383"</f>
        <v>9780585220383</v>
      </c>
      <c r="T3440">
        <v>44960258</v>
      </c>
    </row>
    <row r="3441" spans="1:20" x14ac:dyDescent="0.25">
      <c r="A3441">
        <v>14563</v>
      </c>
      <c r="B3441" t="s">
        <v>16531</v>
      </c>
      <c r="D3441" t="s">
        <v>16230</v>
      </c>
      <c r="E3441" t="s">
        <v>16230</v>
      </c>
      <c r="F3441">
        <v>1997</v>
      </c>
      <c r="G3441" t="s">
        <v>16457</v>
      </c>
      <c r="H3441" t="s">
        <v>16532</v>
      </c>
      <c r="I3441" t="s">
        <v>16533</v>
      </c>
      <c r="J3441" t="s">
        <v>26</v>
      </c>
      <c r="K3441" t="s">
        <v>27</v>
      </c>
      <c r="L3441" t="b">
        <v>1</v>
      </c>
      <c r="M3441" t="s">
        <v>16522</v>
      </c>
      <c r="N3441" t="str">
        <f>"658.2"</f>
        <v>658.2</v>
      </c>
      <c r="P3441" t="b">
        <v>0</v>
      </c>
      <c r="R3441" t="str">
        <f>"9780881732801"</f>
        <v>9780881732801</v>
      </c>
      <c r="S3441" t="str">
        <f>"9780585016726"</f>
        <v>9780585016726</v>
      </c>
      <c r="T3441">
        <v>44960187</v>
      </c>
    </row>
    <row r="3442" spans="1:20" x14ac:dyDescent="0.25">
      <c r="A3442">
        <v>14562</v>
      </c>
      <c r="B3442" t="s">
        <v>16534</v>
      </c>
      <c r="C3442" t="s">
        <v>16535</v>
      </c>
      <c r="D3442" t="s">
        <v>16230</v>
      </c>
      <c r="E3442" t="s">
        <v>16230</v>
      </c>
      <c r="F3442">
        <v>1999</v>
      </c>
      <c r="G3442" t="s">
        <v>11258</v>
      </c>
      <c r="H3442" t="s">
        <v>16536</v>
      </c>
      <c r="I3442" t="s">
        <v>16537</v>
      </c>
      <c r="J3442" t="s">
        <v>26</v>
      </c>
      <c r="K3442" t="s">
        <v>27</v>
      </c>
      <c r="L3442" t="b">
        <v>1</v>
      </c>
      <c r="M3442" t="s">
        <v>16538</v>
      </c>
      <c r="N3442" t="str">
        <f>"621.319"</f>
        <v>621.319</v>
      </c>
      <c r="P3442" t="b">
        <v>0</v>
      </c>
      <c r="R3442" t="str">
        <f>"9780881732795"</f>
        <v>9780881732795</v>
      </c>
      <c r="S3442" t="str">
        <f>"9780585016528"</f>
        <v>9780585016528</v>
      </c>
      <c r="T3442">
        <v>44960148</v>
      </c>
    </row>
    <row r="3443" spans="1:20" x14ac:dyDescent="0.25">
      <c r="A3443">
        <v>14556</v>
      </c>
      <c r="B3443" t="s">
        <v>16539</v>
      </c>
      <c r="D3443" t="s">
        <v>16230</v>
      </c>
      <c r="E3443" t="s">
        <v>16230</v>
      </c>
      <c r="F3443">
        <v>1997</v>
      </c>
      <c r="G3443" t="s">
        <v>6872</v>
      </c>
      <c r="H3443" t="s">
        <v>16540</v>
      </c>
      <c r="I3443" t="s">
        <v>16541</v>
      </c>
      <c r="J3443" t="s">
        <v>26</v>
      </c>
      <c r="K3443" t="s">
        <v>27</v>
      </c>
      <c r="L3443" t="b">
        <v>1</v>
      </c>
      <c r="M3443" t="s">
        <v>16542</v>
      </c>
      <c r="N3443" t="str">
        <f>"333.793"</f>
        <v>333.793</v>
      </c>
      <c r="P3443" t="b">
        <v>0</v>
      </c>
      <c r="R3443" t="str">
        <f>"9780881732702"</f>
        <v>9780881732702</v>
      </c>
      <c r="S3443" t="str">
        <f>"9780585250489"</f>
        <v>9780585250489</v>
      </c>
      <c r="T3443">
        <v>45733748</v>
      </c>
    </row>
    <row r="3444" spans="1:20" x14ac:dyDescent="0.25">
      <c r="A3444">
        <v>14554</v>
      </c>
      <c r="B3444" t="s">
        <v>16543</v>
      </c>
      <c r="D3444" t="s">
        <v>16230</v>
      </c>
      <c r="E3444" t="s">
        <v>16230</v>
      </c>
      <c r="F3444">
        <v>1998</v>
      </c>
      <c r="G3444" t="s">
        <v>394</v>
      </c>
      <c r="H3444" t="s">
        <v>16544</v>
      </c>
      <c r="I3444" t="s">
        <v>16545</v>
      </c>
      <c r="J3444" t="s">
        <v>26</v>
      </c>
      <c r="K3444" t="s">
        <v>27</v>
      </c>
      <c r="L3444" t="b">
        <v>1</v>
      </c>
      <c r="M3444" t="s">
        <v>16546</v>
      </c>
      <c r="N3444" t="str">
        <f>"621.1/8"</f>
        <v>621.1/8</v>
      </c>
      <c r="P3444" t="b">
        <v>0</v>
      </c>
      <c r="R3444" t="str">
        <f>"9780881732658"</f>
        <v>9780881732658</v>
      </c>
      <c r="S3444" t="str">
        <f>"9780585220376"</f>
        <v>9780585220376</v>
      </c>
      <c r="T3444">
        <v>44959927</v>
      </c>
    </row>
    <row r="3445" spans="1:20" x14ac:dyDescent="0.25">
      <c r="A3445">
        <v>14552</v>
      </c>
      <c r="B3445" t="s">
        <v>16547</v>
      </c>
      <c r="D3445" t="s">
        <v>16230</v>
      </c>
      <c r="E3445" t="s">
        <v>16230</v>
      </c>
      <c r="F3445">
        <v>1997</v>
      </c>
      <c r="G3445" t="s">
        <v>6872</v>
      </c>
      <c r="H3445" t="s">
        <v>16548</v>
      </c>
      <c r="I3445" t="s">
        <v>16549</v>
      </c>
      <c r="J3445" t="s">
        <v>26</v>
      </c>
      <c r="K3445" t="s">
        <v>27</v>
      </c>
      <c r="L3445" t="b">
        <v>1</v>
      </c>
      <c r="M3445" t="s">
        <v>16496</v>
      </c>
      <c r="N3445" t="str">
        <f>"333.79/16/0973"</f>
        <v>333.79/16/0973</v>
      </c>
      <c r="P3445" t="b">
        <v>0</v>
      </c>
      <c r="R3445" t="str">
        <f>"9780881732627"</f>
        <v>9780881732627</v>
      </c>
      <c r="S3445" t="str">
        <f>"9780585193731"</f>
        <v>9780585193731</v>
      </c>
      <c r="T3445">
        <v>44959853</v>
      </c>
    </row>
    <row r="3446" spans="1:20" x14ac:dyDescent="0.25">
      <c r="A3446">
        <v>14551</v>
      </c>
      <c r="B3446" t="s">
        <v>16550</v>
      </c>
      <c r="D3446" t="s">
        <v>16230</v>
      </c>
      <c r="E3446" t="s">
        <v>16230</v>
      </c>
      <c r="F3446">
        <v>1997</v>
      </c>
      <c r="G3446" t="s">
        <v>10919</v>
      </c>
      <c r="H3446" t="s">
        <v>16551</v>
      </c>
      <c r="I3446" t="s">
        <v>16552</v>
      </c>
      <c r="J3446" t="s">
        <v>26</v>
      </c>
      <c r="K3446" t="s">
        <v>27</v>
      </c>
      <c r="L3446" t="b">
        <v>1</v>
      </c>
      <c r="M3446" t="s">
        <v>16504</v>
      </c>
      <c r="N3446" t="str">
        <f>"697"</f>
        <v>697</v>
      </c>
      <c r="P3446" t="b">
        <v>0</v>
      </c>
      <c r="R3446" t="str">
        <f>"9780881732610"</f>
        <v>9780881732610</v>
      </c>
      <c r="S3446" t="str">
        <f>"9780585149127"</f>
        <v>9780585149127</v>
      </c>
      <c r="T3446">
        <v>49414541</v>
      </c>
    </row>
    <row r="3447" spans="1:20" x14ac:dyDescent="0.25">
      <c r="A3447">
        <v>14550</v>
      </c>
      <c r="B3447" t="s">
        <v>16553</v>
      </c>
      <c r="D3447" t="s">
        <v>16230</v>
      </c>
      <c r="E3447" t="s">
        <v>16230</v>
      </c>
      <c r="F3447">
        <v>1997</v>
      </c>
      <c r="G3447" t="s">
        <v>7294</v>
      </c>
      <c r="H3447" t="s">
        <v>16554</v>
      </c>
      <c r="I3447" t="s">
        <v>16555</v>
      </c>
      <c r="J3447" t="s">
        <v>26</v>
      </c>
      <c r="K3447" t="s">
        <v>27</v>
      </c>
      <c r="L3447" t="b">
        <v>1</v>
      </c>
      <c r="M3447" t="s">
        <v>16556</v>
      </c>
      <c r="N3447" t="str">
        <f>"621.042"</f>
        <v>621.042</v>
      </c>
      <c r="P3447" t="b">
        <v>0</v>
      </c>
      <c r="R3447" t="str">
        <f>"9780881732603"</f>
        <v>9780881732603</v>
      </c>
      <c r="S3447" t="str">
        <f>"9780585213095"</f>
        <v>9780585213095</v>
      </c>
      <c r="T3447">
        <v>44959816</v>
      </c>
    </row>
    <row r="3448" spans="1:20" x14ac:dyDescent="0.25">
      <c r="A3448">
        <v>14548</v>
      </c>
      <c r="B3448" t="s">
        <v>16557</v>
      </c>
      <c r="C3448" t="s">
        <v>16558</v>
      </c>
      <c r="D3448" t="s">
        <v>16230</v>
      </c>
      <c r="E3448" t="s">
        <v>16230</v>
      </c>
      <c r="F3448">
        <v>1997</v>
      </c>
      <c r="G3448" t="s">
        <v>10919</v>
      </c>
      <c r="H3448" t="s">
        <v>16559</v>
      </c>
      <c r="I3448" t="s">
        <v>16560</v>
      </c>
      <c r="J3448" t="s">
        <v>26</v>
      </c>
      <c r="K3448" t="s">
        <v>27</v>
      </c>
      <c r="L3448" t="b">
        <v>1</v>
      </c>
      <c r="M3448" t="s">
        <v>16522</v>
      </c>
      <c r="N3448" t="str">
        <f>"697"</f>
        <v>697</v>
      </c>
      <c r="P3448" t="b">
        <v>0</v>
      </c>
      <c r="R3448" t="str">
        <f>"9780881732542"</f>
        <v>9780881732542</v>
      </c>
      <c r="S3448" t="str">
        <f>"9780585198026"</f>
        <v>9780585198026</v>
      </c>
      <c r="T3448">
        <v>44959727</v>
      </c>
    </row>
    <row r="3449" spans="1:20" x14ac:dyDescent="0.25">
      <c r="A3449">
        <v>14547</v>
      </c>
      <c r="B3449" t="s">
        <v>16561</v>
      </c>
      <c r="D3449" t="s">
        <v>16230</v>
      </c>
      <c r="E3449" t="s">
        <v>16230</v>
      </c>
      <c r="F3449">
        <v>1997</v>
      </c>
      <c r="G3449" t="s">
        <v>6872</v>
      </c>
      <c r="H3449" t="s">
        <v>16562</v>
      </c>
      <c r="I3449" t="s">
        <v>16541</v>
      </c>
      <c r="J3449" t="s">
        <v>26</v>
      </c>
      <c r="K3449" t="s">
        <v>27</v>
      </c>
      <c r="L3449" t="b">
        <v>1</v>
      </c>
      <c r="M3449" t="s">
        <v>16514</v>
      </c>
      <c r="N3449" t="str">
        <f>"333.793"</f>
        <v>333.793</v>
      </c>
      <c r="P3449" t="b">
        <v>0</v>
      </c>
      <c r="R3449" t="str">
        <f>"9780881732481"</f>
        <v>9780881732481</v>
      </c>
      <c r="S3449" t="str">
        <f>"9780585193724"</f>
        <v>9780585193724</v>
      </c>
      <c r="T3449">
        <v>44959693</v>
      </c>
    </row>
    <row r="3450" spans="1:20" x14ac:dyDescent="0.25">
      <c r="A3450">
        <v>14546</v>
      </c>
      <c r="B3450" t="s">
        <v>16563</v>
      </c>
      <c r="D3450" t="s">
        <v>16230</v>
      </c>
      <c r="E3450" t="s">
        <v>16230</v>
      </c>
      <c r="F3450">
        <v>1996</v>
      </c>
      <c r="G3450" t="s">
        <v>349</v>
      </c>
      <c r="H3450" t="s">
        <v>16564</v>
      </c>
      <c r="I3450" t="s">
        <v>16565</v>
      </c>
      <c r="J3450" t="s">
        <v>26</v>
      </c>
      <c r="K3450" t="s">
        <v>27</v>
      </c>
      <c r="L3450" t="b">
        <v>1</v>
      </c>
      <c r="M3450" t="s">
        <v>16496</v>
      </c>
      <c r="P3450" t="b">
        <v>0</v>
      </c>
      <c r="R3450" t="str">
        <f>"9780881732368"</f>
        <v>9780881732368</v>
      </c>
      <c r="S3450" t="str">
        <f>"9780585193717"</f>
        <v>9780585193717</v>
      </c>
      <c r="T3450">
        <v>45733708</v>
      </c>
    </row>
    <row r="3451" spans="1:20" x14ac:dyDescent="0.25">
      <c r="A3451">
        <v>14544</v>
      </c>
      <c r="B3451" t="s">
        <v>16566</v>
      </c>
      <c r="D3451" t="s">
        <v>16230</v>
      </c>
      <c r="E3451" t="s">
        <v>16230</v>
      </c>
      <c r="F3451">
        <v>1995</v>
      </c>
      <c r="G3451" t="s">
        <v>6872</v>
      </c>
      <c r="H3451" t="s">
        <v>16567</v>
      </c>
      <c r="I3451" t="s">
        <v>16568</v>
      </c>
      <c r="J3451" t="s">
        <v>26</v>
      </c>
      <c r="K3451" t="s">
        <v>27</v>
      </c>
      <c r="L3451" t="b">
        <v>1</v>
      </c>
      <c r="M3451" t="s">
        <v>16496</v>
      </c>
      <c r="N3451" t="str">
        <f>"333.79/16"</f>
        <v>333.79/16</v>
      </c>
      <c r="P3451" t="b">
        <v>0</v>
      </c>
      <c r="R3451" t="str">
        <f>"9780881732030"</f>
        <v>9780881732030</v>
      </c>
      <c r="S3451" t="str">
        <f>"9780585193700"</f>
        <v>9780585193700</v>
      </c>
      <c r="T3451">
        <v>45733668</v>
      </c>
    </row>
    <row r="3452" spans="1:20" x14ac:dyDescent="0.25">
      <c r="A3452">
        <v>14543</v>
      </c>
      <c r="B3452" t="s">
        <v>16569</v>
      </c>
      <c r="D3452" t="s">
        <v>16230</v>
      </c>
      <c r="E3452" t="s">
        <v>16230</v>
      </c>
      <c r="F3452">
        <v>1994</v>
      </c>
      <c r="G3452" t="s">
        <v>8619</v>
      </c>
      <c r="H3452" t="s">
        <v>16570</v>
      </c>
      <c r="I3452" t="s">
        <v>16571</v>
      </c>
      <c r="J3452" t="s">
        <v>26</v>
      </c>
      <c r="K3452" t="s">
        <v>27</v>
      </c>
      <c r="L3452" t="b">
        <v>1</v>
      </c>
      <c r="M3452" t="s">
        <v>16572</v>
      </c>
      <c r="N3452" t="str">
        <f>"363.7"</f>
        <v>363.7</v>
      </c>
      <c r="P3452" t="b">
        <v>0</v>
      </c>
      <c r="R3452" t="str">
        <f>"9780881731897"</f>
        <v>9780881731897</v>
      </c>
      <c r="S3452" t="str">
        <f>"9780585193694"</f>
        <v>9780585193694</v>
      </c>
      <c r="T3452">
        <v>44959617</v>
      </c>
    </row>
    <row r="3453" spans="1:20" x14ac:dyDescent="0.25">
      <c r="A3453">
        <v>14541</v>
      </c>
      <c r="B3453" t="s">
        <v>16573</v>
      </c>
      <c r="D3453" t="s">
        <v>16230</v>
      </c>
      <c r="E3453" t="s">
        <v>16230</v>
      </c>
      <c r="F3453">
        <v>1992</v>
      </c>
      <c r="G3453" t="s">
        <v>10919</v>
      </c>
      <c r="H3453" t="s">
        <v>16574</v>
      </c>
      <c r="I3453" t="s">
        <v>16575</v>
      </c>
      <c r="J3453" t="s">
        <v>26</v>
      </c>
      <c r="K3453" t="s">
        <v>27</v>
      </c>
      <c r="L3453" t="b">
        <v>1</v>
      </c>
      <c r="M3453" t="s">
        <v>16504</v>
      </c>
      <c r="N3453" t="str">
        <f>"697"</f>
        <v>697</v>
      </c>
      <c r="P3453" t="b">
        <v>0</v>
      </c>
      <c r="R3453" t="str">
        <f>"9780881731385"</f>
        <v>9780881731385</v>
      </c>
      <c r="S3453" t="str">
        <f>"9780585120720"</f>
        <v>9780585120720</v>
      </c>
      <c r="T3453">
        <v>44959547</v>
      </c>
    </row>
    <row r="3454" spans="1:20" x14ac:dyDescent="0.25">
      <c r="A3454">
        <v>14540</v>
      </c>
      <c r="B3454" t="s">
        <v>16576</v>
      </c>
      <c r="D3454" t="s">
        <v>16230</v>
      </c>
      <c r="E3454" t="s">
        <v>16230</v>
      </c>
      <c r="F3454">
        <v>1992</v>
      </c>
      <c r="G3454" t="s">
        <v>12598</v>
      </c>
      <c r="H3454" t="s">
        <v>16577</v>
      </c>
      <c r="I3454" t="s">
        <v>16578</v>
      </c>
      <c r="J3454" t="s">
        <v>26</v>
      </c>
      <c r="K3454" t="s">
        <v>27</v>
      </c>
      <c r="L3454" t="b">
        <v>1</v>
      </c>
      <c r="M3454" t="s">
        <v>16504</v>
      </c>
      <c r="N3454" t="str">
        <f>"621.32/11"</f>
        <v>621.32/11</v>
      </c>
      <c r="P3454" t="b">
        <v>0</v>
      </c>
      <c r="R3454" t="str">
        <f>"9780881731378"</f>
        <v>9780881731378</v>
      </c>
      <c r="S3454" t="str">
        <f>"9780585198019"</f>
        <v>9780585198019</v>
      </c>
      <c r="T3454">
        <v>44959515</v>
      </c>
    </row>
    <row r="3455" spans="1:20" x14ac:dyDescent="0.25">
      <c r="A3455">
        <v>14539</v>
      </c>
      <c r="B3455" t="s">
        <v>16579</v>
      </c>
      <c r="C3455" t="s">
        <v>16580</v>
      </c>
      <c r="D3455" t="s">
        <v>16230</v>
      </c>
      <c r="E3455" t="s">
        <v>16230</v>
      </c>
      <c r="F3455">
        <v>1988</v>
      </c>
      <c r="G3455" t="s">
        <v>11258</v>
      </c>
      <c r="H3455" t="s">
        <v>16581</v>
      </c>
      <c r="I3455" t="s">
        <v>16582</v>
      </c>
      <c r="J3455" t="s">
        <v>26</v>
      </c>
      <c r="K3455" t="s">
        <v>27</v>
      </c>
      <c r="L3455" t="b">
        <v>1</v>
      </c>
      <c r="M3455" t="s">
        <v>16583</v>
      </c>
      <c r="N3455" t="str">
        <f>"621.319/1"</f>
        <v>621.319/1</v>
      </c>
      <c r="P3455" t="b">
        <v>0</v>
      </c>
      <c r="R3455" t="str">
        <f>"9780881730395"</f>
        <v>9780881730395</v>
      </c>
      <c r="S3455" t="str">
        <f>"9780585120713"</f>
        <v>9780585120713</v>
      </c>
      <c r="T3455">
        <v>45733624</v>
      </c>
    </row>
    <row r="3456" spans="1:20" x14ac:dyDescent="0.25">
      <c r="A3456">
        <v>13919</v>
      </c>
      <c r="B3456" t="s">
        <v>16584</v>
      </c>
      <c r="D3456" t="s">
        <v>16236</v>
      </c>
      <c r="E3456" t="s">
        <v>16236</v>
      </c>
      <c r="F3456">
        <v>1993</v>
      </c>
      <c r="G3456" t="s">
        <v>4520</v>
      </c>
      <c r="H3456" t="s">
        <v>16585</v>
      </c>
      <c r="I3456" t="s">
        <v>16586</v>
      </c>
      <c r="J3456" t="s">
        <v>26</v>
      </c>
      <c r="K3456" t="s">
        <v>27</v>
      </c>
      <c r="L3456" t="b">
        <v>1</v>
      </c>
      <c r="M3456" t="s">
        <v>16587</v>
      </c>
      <c r="N3456" t="str">
        <f>"150.19/52/0922;B"</f>
        <v>150.19/52/0922;B</v>
      </c>
      <c r="P3456" t="b">
        <v>0</v>
      </c>
      <c r="R3456" t="str">
        <f>"9780870238734"</f>
        <v>9780870238734</v>
      </c>
      <c r="S3456" t="str">
        <f>"9780585084114"</f>
        <v>9780585084114</v>
      </c>
      <c r="T3456">
        <v>43475590</v>
      </c>
    </row>
    <row r="3457" spans="1:20" x14ac:dyDescent="0.25">
      <c r="A3457">
        <v>13893</v>
      </c>
      <c r="B3457" t="s">
        <v>16588</v>
      </c>
      <c r="C3457" t="s">
        <v>16589</v>
      </c>
      <c r="D3457" t="s">
        <v>16236</v>
      </c>
      <c r="E3457" t="s">
        <v>16236</v>
      </c>
      <c r="F3457">
        <v>1976</v>
      </c>
      <c r="G3457" t="s">
        <v>16590</v>
      </c>
      <c r="H3457" t="s">
        <v>16591</v>
      </c>
      <c r="I3457" t="s">
        <v>16592</v>
      </c>
      <c r="J3457" t="s">
        <v>26</v>
      </c>
      <c r="K3457" t="s">
        <v>27</v>
      </c>
      <c r="L3457" t="b">
        <v>1</v>
      </c>
      <c r="M3457" t="s">
        <v>16593</v>
      </c>
      <c r="N3457" t="str">
        <f>"126/.092/4"</f>
        <v>126/.092/4</v>
      </c>
      <c r="P3457" t="b">
        <v>0</v>
      </c>
      <c r="R3457" t="str">
        <f>"9780870231858"</f>
        <v>9780870231858</v>
      </c>
      <c r="S3457" t="str">
        <f>"9780585083957"</f>
        <v>9780585083957</v>
      </c>
      <c r="T3457">
        <v>43475568</v>
      </c>
    </row>
    <row r="3458" spans="1:20" x14ac:dyDescent="0.25">
      <c r="A3458">
        <v>13873</v>
      </c>
      <c r="B3458" t="s">
        <v>16594</v>
      </c>
      <c r="C3458" t="s">
        <v>16595</v>
      </c>
      <c r="D3458" t="s">
        <v>16236</v>
      </c>
      <c r="E3458" t="s">
        <v>16236</v>
      </c>
      <c r="F3458">
        <v>1978</v>
      </c>
      <c r="G3458" t="s">
        <v>2417</v>
      </c>
      <c r="H3458" t="s">
        <v>16596</v>
      </c>
      <c r="I3458" t="s">
        <v>16597</v>
      </c>
      <c r="J3458" t="s">
        <v>26</v>
      </c>
      <c r="K3458" t="s">
        <v>27</v>
      </c>
      <c r="L3458" t="b">
        <v>1</v>
      </c>
      <c r="M3458" t="s">
        <v>16598</v>
      </c>
      <c r="P3458" t="b">
        <v>0</v>
      </c>
      <c r="R3458" t="str">
        <f>"9780870232510"</f>
        <v>9780870232510</v>
      </c>
      <c r="S3458" t="str">
        <f>"9780585083803"</f>
        <v>9780585083803</v>
      </c>
      <c r="T3458">
        <v>44959992</v>
      </c>
    </row>
    <row r="3459" spans="1:20" x14ac:dyDescent="0.25">
      <c r="A3459">
        <v>13871</v>
      </c>
      <c r="B3459" t="s">
        <v>16599</v>
      </c>
      <c r="C3459" t="s">
        <v>16600</v>
      </c>
      <c r="D3459" t="s">
        <v>16236</v>
      </c>
      <c r="E3459" t="s">
        <v>16236</v>
      </c>
      <c r="F3459">
        <v>1979</v>
      </c>
      <c r="G3459" t="s">
        <v>2417</v>
      </c>
      <c r="H3459" t="s">
        <v>16601</v>
      </c>
      <c r="I3459" t="s">
        <v>16602</v>
      </c>
      <c r="J3459" t="s">
        <v>26</v>
      </c>
      <c r="K3459" t="s">
        <v>27</v>
      </c>
      <c r="L3459" t="b">
        <v>1</v>
      </c>
      <c r="M3459" t="s">
        <v>16603</v>
      </c>
      <c r="N3459" t="str">
        <f>"813/.5/2"</f>
        <v>813/.5/2</v>
      </c>
      <c r="P3459" t="b">
        <v>0</v>
      </c>
      <c r="R3459" t="str">
        <f>"9780870232688"</f>
        <v>9780870232688</v>
      </c>
      <c r="S3459" t="str">
        <f>"9780585083797"</f>
        <v>9780585083797</v>
      </c>
      <c r="T3459">
        <v>43475548</v>
      </c>
    </row>
    <row r="3460" spans="1:20" x14ac:dyDescent="0.25">
      <c r="A3460">
        <v>13846</v>
      </c>
      <c r="B3460" t="s">
        <v>16604</v>
      </c>
      <c r="C3460" t="s">
        <v>16605</v>
      </c>
      <c r="D3460" t="s">
        <v>16236</v>
      </c>
      <c r="E3460" t="s">
        <v>16236</v>
      </c>
      <c r="F3460">
        <v>1984</v>
      </c>
      <c r="G3460" t="s">
        <v>242</v>
      </c>
      <c r="H3460" t="s">
        <v>16606</v>
      </c>
      <c r="I3460" t="s">
        <v>16607</v>
      </c>
      <c r="J3460" t="s">
        <v>26</v>
      </c>
      <c r="K3460" t="s">
        <v>27</v>
      </c>
      <c r="L3460" t="b">
        <v>1</v>
      </c>
      <c r="M3460" t="s">
        <v>16608</v>
      </c>
      <c r="N3460" t="str">
        <f>"792.9/5"</f>
        <v>792.9/5</v>
      </c>
      <c r="P3460" t="b">
        <v>0</v>
      </c>
      <c r="R3460" t="str">
        <f>"9780870235252"</f>
        <v>9780870235252</v>
      </c>
      <c r="S3460" t="str">
        <f>"9780585083605"</f>
        <v>9780585083605</v>
      </c>
      <c r="T3460">
        <v>44959692</v>
      </c>
    </row>
    <row r="3461" spans="1:20" x14ac:dyDescent="0.25">
      <c r="A3461">
        <v>13829</v>
      </c>
      <c r="B3461" t="s">
        <v>16609</v>
      </c>
      <c r="D3461" t="s">
        <v>16236</v>
      </c>
      <c r="E3461" t="s">
        <v>16236</v>
      </c>
      <c r="F3461">
        <v>1972</v>
      </c>
      <c r="G3461" t="s">
        <v>546</v>
      </c>
      <c r="H3461" t="s">
        <v>16610</v>
      </c>
      <c r="I3461" t="s">
        <v>16611</v>
      </c>
      <c r="J3461" t="s">
        <v>26</v>
      </c>
      <c r="K3461" t="s">
        <v>27</v>
      </c>
      <c r="L3461" t="b">
        <v>1</v>
      </c>
      <c r="M3461" t="s">
        <v>16612</v>
      </c>
      <c r="N3461" t="str">
        <f>"811/.5/2;B"</f>
        <v>811/.5/2;B</v>
      </c>
      <c r="P3461" t="b">
        <v>0</v>
      </c>
      <c r="R3461" t="str">
        <f>"9780870231063"</f>
        <v>9780870231063</v>
      </c>
      <c r="S3461" t="str">
        <f>"9780585139012"</f>
        <v>9780585139012</v>
      </c>
      <c r="T3461">
        <v>44959466</v>
      </c>
    </row>
    <row r="3462" spans="1:20" x14ac:dyDescent="0.25">
      <c r="A3462">
        <v>13817</v>
      </c>
      <c r="B3462" t="s">
        <v>16613</v>
      </c>
      <c r="C3462" t="s">
        <v>16614</v>
      </c>
      <c r="D3462" t="s">
        <v>16236</v>
      </c>
      <c r="E3462" t="s">
        <v>16236</v>
      </c>
      <c r="F3462">
        <v>1995</v>
      </c>
      <c r="G3462" t="s">
        <v>14849</v>
      </c>
      <c r="H3462" t="s">
        <v>16615</v>
      </c>
      <c r="I3462" t="s">
        <v>16616</v>
      </c>
      <c r="J3462" t="s">
        <v>26</v>
      </c>
      <c r="K3462" t="s">
        <v>27</v>
      </c>
      <c r="L3462" t="b">
        <v>1</v>
      </c>
      <c r="M3462" t="s">
        <v>16617</v>
      </c>
      <c r="N3462" t="str">
        <f>"959.704/342;B"</f>
        <v>959.704/342;B</v>
      </c>
      <c r="P3462" t="b">
        <v>0</v>
      </c>
      <c r="R3462" t="str">
        <f>"9780870239557"</f>
        <v>9780870239557</v>
      </c>
      <c r="S3462" t="str">
        <f>"9780585083414"</f>
        <v>9780585083414</v>
      </c>
      <c r="T3462">
        <v>43475477</v>
      </c>
    </row>
    <row r="3463" spans="1:20" x14ac:dyDescent="0.25">
      <c r="A3463">
        <v>13793</v>
      </c>
      <c r="B3463" t="s">
        <v>16618</v>
      </c>
      <c r="D3463" t="s">
        <v>16236</v>
      </c>
      <c r="E3463" t="s">
        <v>16236</v>
      </c>
      <c r="F3463">
        <v>1989</v>
      </c>
      <c r="G3463" t="s">
        <v>16619</v>
      </c>
      <c r="H3463" t="s">
        <v>16620</v>
      </c>
      <c r="I3463" t="s">
        <v>16621</v>
      </c>
      <c r="J3463" t="s">
        <v>26</v>
      </c>
      <c r="K3463" t="s">
        <v>27</v>
      </c>
      <c r="L3463" t="b">
        <v>1</v>
      </c>
      <c r="M3463" t="s">
        <v>16622</v>
      </c>
      <c r="N3463" t="str">
        <f>"822.3/3"</f>
        <v>822.3/3</v>
      </c>
      <c r="P3463" t="b">
        <v>1</v>
      </c>
      <c r="R3463" t="str">
        <f>"9780870236662"</f>
        <v>9780870236662</v>
      </c>
      <c r="S3463" t="str">
        <f>"9780585083223"</f>
        <v>9780585083223</v>
      </c>
      <c r="T3463">
        <v>44959244</v>
      </c>
    </row>
    <row r="3464" spans="1:20" x14ac:dyDescent="0.25">
      <c r="A3464">
        <v>13786</v>
      </c>
      <c r="B3464" t="s">
        <v>16623</v>
      </c>
      <c r="C3464" t="s">
        <v>16624</v>
      </c>
      <c r="D3464" t="s">
        <v>16236</v>
      </c>
      <c r="E3464" t="s">
        <v>16236</v>
      </c>
      <c r="F3464">
        <v>1997</v>
      </c>
      <c r="G3464" t="s">
        <v>2771</v>
      </c>
      <c r="H3464" t="s">
        <v>16625</v>
      </c>
      <c r="I3464" t="s">
        <v>16626</v>
      </c>
      <c r="J3464" t="s">
        <v>26</v>
      </c>
      <c r="K3464" t="s">
        <v>27</v>
      </c>
      <c r="L3464" t="b">
        <v>1</v>
      </c>
      <c r="M3464" t="s">
        <v>16627</v>
      </c>
      <c r="N3464" t="str">
        <f>"808.8/0358"</f>
        <v>808.8/0358</v>
      </c>
      <c r="P3464" t="b">
        <v>0</v>
      </c>
      <c r="R3464" t="str">
        <f>"9781558490543"</f>
        <v>9781558490543</v>
      </c>
      <c r="S3464" t="str">
        <f>"9780585083162"</f>
        <v>9780585083162</v>
      </c>
      <c r="T3464">
        <v>43475451</v>
      </c>
    </row>
    <row r="3465" spans="1:20" x14ac:dyDescent="0.25">
      <c r="A3465">
        <v>12609</v>
      </c>
      <c r="B3465" t="s">
        <v>16628</v>
      </c>
      <c r="D3465" t="s">
        <v>15024</v>
      </c>
      <c r="E3465" t="s">
        <v>15025</v>
      </c>
      <c r="F3465">
        <v>1999</v>
      </c>
      <c r="G3465" t="s">
        <v>9917</v>
      </c>
      <c r="H3465" t="s">
        <v>16629</v>
      </c>
      <c r="I3465" t="s">
        <v>16630</v>
      </c>
      <c r="J3465" t="s">
        <v>26</v>
      </c>
      <c r="K3465" t="s">
        <v>27</v>
      </c>
      <c r="L3465" t="b">
        <v>1</v>
      </c>
      <c r="M3465" t="s">
        <v>16631</v>
      </c>
      <c r="N3465" t="str">
        <f>"668/.5"</f>
        <v>668/.5</v>
      </c>
      <c r="O3465" t="s">
        <v>16632</v>
      </c>
      <c r="P3465" t="b">
        <v>0</v>
      </c>
      <c r="R3465" t="str">
        <f>"9780824719234"</f>
        <v>9780824719234</v>
      </c>
      <c r="S3465" t="str">
        <f>"9780585157252"</f>
        <v>9780585157252</v>
      </c>
      <c r="T3465">
        <v>45733143</v>
      </c>
    </row>
    <row r="3466" spans="1:20" x14ac:dyDescent="0.25">
      <c r="A3466">
        <v>12469</v>
      </c>
      <c r="B3466" t="s">
        <v>16633</v>
      </c>
      <c r="D3466" t="s">
        <v>10310</v>
      </c>
      <c r="E3466" t="s">
        <v>10310</v>
      </c>
      <c r="F3466">
        <v>1990</v>
      </c>
      <c r="G3466" t="s">
        <v>2417</v>
      </c>
      <c r="H3466" t="s">
        <v>16634</v>
      </c>
      <c r="I3466" t="s">
        <v>16635</v>
      </c>
      <c r="J3466" t="s">
        <v>26</v>
      </c>
      <c r="K3466" t="s">
        <v>27</v>
      </c>
      <c r="L3466" t="b">
        <v>1</v>
      </c>
      <c r="M3466" t="s">
        <v>16636</v>
      </c>
      <c r="N3466" t="str">
        <f>"818/.303"</f>
        <v>818/.303</v>
      </c>
      <c r="P3466" t="b">
        <v>0</v>
      </c>
      <c r="R3466" t="str">
        <f>"9780826512352"</f>
        <v>9780826512352</v>
      </c>
      <c r="S3466" t="str">
        <f>"9780585106281"</f>
        <v>9780585106281</v>
      </c>
      <c r="T3466">
        <v>44965575</v>
      </c>
    </row>
    <row r="3467" spans="1:20" x14ac:dyDescent="0.25">
      <c r="A3467">
        <v>12468</v>
      </c>
      <c r="B3467" t="s">
        <v>16637</v>
      </c>
      <c r="D3467" t="s">
        <v>10310</v>
      </c>
      <c r="E3467" t="s">
        <v>10310</v>
      </c>
      <c r="F3467">
        <v>1968</v>
      </c>
      <c r="G3467" t="s">
        <v>1522</v>
      </c>
      <c r="H3467" t="s">
        <v>16638</v>
      </c>
      <c r="I3467" t="s">
        <v>16639</v>
      </c>
      <c r="J3467" t="s">
        <v>26</v>
      </c>
      <c r="K3467" t="s">
        <v>27</v>
      </c>
      <c r="L3467" t="b">
        <v>1</v>
      </c>
      <c r="M3467" t="s">
        <v>16640</v>
      </c>
      <c r="N3467" t="str">
        <f>"346.04/82;342.6482"</f>
        <v>346.04/82;342.6482</v>
      </c>
      <c r="P3467" t="b">
        <v>0</v>
      </c>
      <c r="R3467" t="str">
        <f>"9780826511201"</f>
        <v>9780826511201</v>
      </c>
      <c r="S3467" t="str">
        <f>"9780585222981"</f>
        <v>9780585222981</v>
      </c>
      <c r="T3467">
        <v>44965557</v>
      </c>
    </row>
    <row r="3468" spans="1:20" x14ac:dyDescent="0.25">
      <c r="A3468">
        <v>12467</v>
      </c>
      <c r="B3468" t="s">
        <v>16641</v>
      </c>
      <c r="C3468" t="s">
        <v>16642</v>
      </c>
      <c r="D3468" t="s">
        <v>10310</v>
      </c>
      <c r="E3468" t="s">
        <v>10310</v>
      </c>
      <c r="F3468">
        <v>1989</v>
      </c>
      <c r="G3468" t="s">
        <v>197</v>
      </c>
      <c r="H3468" t="s">
        <v>16643</v>
      </c>
      <c r="I3468" t="s">
        <v>16644</v>
      </c>
      <c r="J3468" t="s">
        <v>26</v>
      </c>
      <c r="K3468" t="s">
        <v>27</v>
      </c>
      <c r="L3468" t="b">
        <v>1</v>
      </c>
      <c r="M3468" t="s">
        <v>16645</v>
      </c>
      <c r="N3468" t="str">
        <f>"809.1/02"</f>
        <v>809.1/02</v>
      </c>
      <c r="P3468" t="b">
        <v>0</v>
      </c>
      <c r="R3468" t="str">
        <f>"9780826512314"</f>
        <v>9780826512314</v>
      </c>
      <c r="S3468" t="str">
        <f>"9780585106250"</f>
        <v>9780585106250</v>
      </c>
      <c r="T3468">
        <v>45732459</v>
      </c>
    </row>
    <row r="3469" spans="1:20" x14ac:dyDescent="0.25">
      <c r="A3469">
        <v>11783</v>
      </c>
      <c r="B3469" t="s">
        <v>16646</v>
      </c>
      <c r="D3469" t="s">
        <v>6674</v>
      </c>
      <c r="E3469" t="s">
        <v>6674</v>
      </c>
      <c r="F3469">
        <v>1996</v>
      </c>
      <c r="G3469" t="s">
        <v>2771</v>
      </c>
      <c r="H3469" t="s">
        <v>16647</v>
      </c>
      <c r="I3469" t="s">
        <v>6029</v>
      </c>
      <c r="J3469" t="s">
        <v>26</v>
      </c>
      <c r="K3469" t="s">
        <v>27</v>
      </c>
      <c r="L3469" t="b">
        <v>1</v>
      </c>
      <c r="M3469" t="s">
        <v>16648</v>
      </c>
      <c r="P3469" t="b">
        <v>0</v>
      </c>
      <c r="R3469" t="str">
        <f>"9781558744226"</f>
        <v>9781558744226</v>
      </c>
      <c r="S3469" t="str">
        <f>"9780585107455"</f>
        <v>9780585107455</v>
      </c>
      <c r="T3469">
        <v>43802705</v>
      </c>
    </row>
    <row r="3470" spans="1:20" x14ac:dyDescent="0.25">
      <c r="A3470">
        <v>11778</v>
      </c>
      <c r="B3470" t="s">
        <v>16649</v>
      </c>
      <c r="C3470" t="s">
        <v>16650</v>
      </c>
      <c r="D3470" t="s">
        <v>6674</v>
      </c>
      <c r="E3470" t="s">
        <v>6674</v>
      </c>
      <c r="F3470">
        <v>1997</v>
      </c>
      <c r="G3470" t="s">
        <v>14376</v>
      </c>
      <c r="H3470" t="s">
        <v>16651</v>
      </c>
      <c r="I3470" t="s">
        <v>16652</v>
      </c>
      <c r="J3470" t="s">
        <v>26</v>
      </c>
      <c r="K3470" t="s">
        <v>48</v>
      </c>
      <c r="L3470" t="b">
        <v>1</v>
      </c>
      <c r="M3470" t="s">
        <v>16653</v>
      </c>
      <c r="N3470" t="str">
        <f>"616.86"</f>
        <v>616.86</v>
      </c>
      <c r="P3470" t="b">
        <v>0</v>
      </c>
      <c r="R3470" t="str">
        <f>"9781558745261"</f>
        <v>9781558745261</v>
      </c>
      <c r="S3470" t="str">
        <f>"9780585107356"</f>
        <v>9780585107356</v>
      </c>
      <c r="T3470">
        <v>43476045</v>
      </c>
    </row>
    <row r="3471" spans="1:20" x14ac:dyDescent="0.25">
      <c r="A3471">
        <v>11772</v>
      </c>
      <c r="B3471" t="s">
        <v>16654</v>
      </c>
      <c r="C3471" t="s">
        <v>16655</v>
      </c>
      <c r="D3471" t="s">
        <v>6674</v>
      </c>
      <c r="E3471" t="s">
        <v>6674</v>
      </c>
      <c r="F3471">
        <v>1997</v>
      </c>
      <c r="G3471" t="s">
        <v>6966</v>
      </c>
      <c r="H3471" t="s">
        <v>16656</v>
      </c>
      <c r="I3471" t="s">
        <v>16657</v>
      </c>
      <c r="J3471" t="s">
        <v>26</v>
      </c>
      <c r="K3471" t="s">
        <v>27</v>
      </c>
      <c r="L3471" t="b">
        <v>1</v>
      </c>
      <c r="M3471" t="s">
        <v>16658</v>
      </c>
      <c r="N3471" t="str">
        <f>"291.4"</f>
        <v>291.4</v>
      </c>
      <c r="P3471" t="b">
        <v>0</v>
      </c>
      <c r="R3471" t="str">
        <f>"9781558744622"</f>
        <v>9781558744622</v>
      </c>
      <c r="S3471" t="str">
        <f>"9780585107257"</f>
        <v>9780585107257</v>
      </c>
      <c r="T3471">
        <v>43803292</v>
      </c>
    </row>
    <row r="3472" spans="1:20" x14ac:dyDescent="0.25">
      <c r="A3472">
        <v>11765</v>
      </c>
      <c r="B3472" t="s">
        <v>16659</v>
      </c>
      <c r="C3472" t="s">
        <v>16660</v>
      </c>
      <c r="D3472" t="s">
        <v>6674</v>
      </c>
      <c r="E3472" t="s">
        <v>6674</v>
      </c>
      <c r="F3472">
        <v>1997</v>
      </c>
      <c r="G3472" t="s">
        <v>11177</v>
      </c>
      <c r="H3472" t="s">
        <v>16661</v>
      </c>
      <c r="I3472" t="s">
        <v>16662</v>
      </c>
      <c r="J3472" t="s">
        <v>26</v>
      </c>
      <c r="K3472" t="s">
        <v>27</v>
      </c>
      <c r="L3472" t="b">
        <v>1</v>
      </c>
      <c r="M3472" t="s">
        <v>16663</v>
      </c>
      <c r="N3472" t="str">
        <f>"814/.54"</f>
        <v>814/.54</v>
      </c>
      <c r="P3472" t="b">
        <v>0</v>
      </c>
      <c r="R3472" t="str">
        <f>"9781558744523"</f>
        <v>9781558744523</v>
      </c>
      <c r="S3472" t="str">
        <f>"9780585107042"</f>
        <v>9780585107042</v>
      </c>
      <c r="T3472">
        <v>43476014</v>
      </c>
    </row>
    <row r="3473" spans="1:20" x14ac:dyDescent="0.25">
      <c r="A3473">
        <v>11761</v>
      </c>
      <c r="B3473" t="s">
        <v>16664</v>
      </c>
      <c r="C3473" t="s">
        <v>16665</v>
      </c>
      <c r="D3473" t="s">
        <v>6674</v>
      </c>
      <c r="E3473" t="s">
        <v>6674</v>
      </c>
      <c r="F3473">
        <v>1995</v>
      </c>
      <c r="G3473" t="s">
        <v>7480</v>
      </c>
      <c r="H3473" t="s">
        <v>16666</v>
      </c>
      <c r="I3473" t="s">
        <v>16667</v>
      </c>
      <c r="J3473" t="s">
        <v>26</v>
      </c>
      <c r="K3473" t="s">
        <v>27</v>
      </c>
      <c r="L3473" t="b">
        <v>1</v>
      </c>
      <c r="M3473" t="s">
        <v>16668</v>
      </c>
      <c r="N3473" t="str">
        <f>"616.85/82239"</f>
        <v>616.85/82239</v>
      </c>
      <c r="P3473" t="b">
        <v>0</v>
      </c>
      <c r="R3473" t="str">
        <f>"9781558743205"</f>
        <v>9781558743205</v>
      </c>
      <c r="S3473" t="str">
        <f>"9780585106939"</f>
        <v>9780585106939</v>
      </c>
      <c r="T3473">
        <v>43476005</v>
      </c>
    </row>
    <row r="3474" spans="1:20" x14ac:dyDescent="0.25">
      <c r="A3474">
        <v>11754</v>
      </c>
      <c r="B3474" t="s">
        <v>16669</v>
      </c>
      <c r="C3474" t="s">
        <v>16670</v>
      </c>
      <c r="D3474" t="s">
        <v>6674</v>
      </c>
      <c r="E3474" t="s">
        <v>6674</v>
      </c>
      <c r="F3474">
        <v>1992</v>
      </c>
      <c r="G3474" t="s">
        <v>16671</v>
      </c>
      <c r="H3474" t="s">
        <v>16672</v>
      </c>
      <c r="I3474" t="s">
        <v>16673</v>
      </c>
      <c r="J3474" t="s">
        <v>26</v>
      </c>
      <c r="K3474" t="s">
        <v>27</v>
      </c>
      <c r="L3474" t="b">
        <v>1</v>
      </c>
      <c r="M3474" t="s">
        <v>16674</v>
      </c>
      <c r="N3474" t="str">
        <f>"332.024/042"</f>
        <v>332.024/042</v>
      </c>
      <c r="P3474" t="b">
        <v>0</v>
      </c>
      <c r="R3474" t="str">
        <f>"9781558742253"</f>
        <v>9781558742253</v>
      </c>
      <c r="S3474" t="str">
        <f>"9780585159874"</f>
        <v>9780585159874</v>
      </c>
      <c r="T3474">
        <v>43477451</v>
      </c>
    </row>
    <row r="3475" spans="1:20" x14ac:dyDescent="0.25">
      <c r="A3475">
        <v>11748</v>
      </c>
      <c r="B3475" t="s">
        <v>16675</v>
      </c>
      <c r="D3475" t="s">
        <v>6674</v>
      </c>
      <c r="E3475" t="s">
        <v>6674</v>
      </c>
      <c r="F3475">
        <v>1992</v>
      </c>
      <c r="G3475" t="s">
        <v>16676</v>
      </c>
      <c r="H3475" t="s">
        <v>16677</v>
      </c>
      <c r="I3475" t="s">
        <v>16678</v>
      </c>
      <c r="J3475" t="s">
        <v>26</v>
      </c>
      <c r="K3475" t="s">
        <v>27</v>
      </c>
      <c r="L3475" t="b">
        <v>1</v>
      </c>
      <c r="M3475" t="s">
        <v>6697</v>
      </c>
      <c r="P3475" t="b">
        <v>0</v>
      </c>
      <c r="R3475" t="str">
        <f>"9781558742154"</f>
        <v>9781558742154</v>
      </c>
      <c r="S3475" t="str">
        <f>"9780585106519"</f>
        <v>9780585106519</v>
      </c>
      <c r="T3475">
        <v>43803052</v>
      </c>
    </row>
    <row r="3476" spans="1:20" x14ac:dyDescent="0.25">
      <c r="A3476">
        <v>11743</v>
      </c>
      <c r="B3476" t="s">
        <v>16679</v>
      </c>
      <c r="C3476" t="s">
        <v>16680</v>
      </c>
      <c r="D3476" t="s">
        <v>6674</v>
      </c>
      <c r="E3476" t="s">
        <v>6674</v>
      </c>
      <c r="F3476">
        <v>1997</v>
      </c>
      <c r="G3476" t="s">
        <v>16681</v>
      </c>
      <c r="H3476" t="s">
        <v>16682</v>
      </c>
      <c r="I3476" t="s">
        <v>16683</v>
      </c>
      <c r="J3476" t="s">
        <v>26</v>
      </c>
      <c r="K3476" t="s">
        <v>27</v>
      </c>
      <c r="L3476" t="b">
        <v>1</v>
      </c>
      <c r="M3476" t="s">
        <v>16684</v>
      </c>
      <c r="N3476" t="str">
        <f>"158.2"</f>
        <v>158.2</v>
      </c>
      <c r="P3476" t="b">
        <v>0</v>
      </c>
      <c r="R3476" t="str">
        <f>"9781558744615"</f>
        <v>9781558744615</v>
      </c>
      <c r="S3476" t="str">
        <f>"9780585105444"</f>
        <v>9780585105444</v>
      </c>
      <c r="T3476">
        <v>42922747</v>
      </c>
    </row>
    <row r="3477" spans="1:20" x14ac:dyDescent="0.25">
      <c r="A3477">
        <v>11742</v>
      </c>
      <c r="B3477" t="s">
        <v>16685</v>
      </c>
      <c r="C3477" t="s">
        <v>16686</v>
      </c>
      <c r="D3477" t="s">
        <v>6674</v>
      </c>
      <c r="E3477" t="s">
        <v>6674</v>
      </c>
      <c r="F3477">
        <v>1989</v>
      </c>
      <c r="G3477" t="s">
        <v>8789</v>
      </c>
      <c r="H3477" t="s">
        <v>16687</v>
      </c>
      <c r="I3477" t="s">
        <v>16688</v>
      </c>
      <c r="J3477" t="s">
        <v>26</v>
      </c>
      <c r="K3477" t="s">
        <v>27</v>
      </c>
      <c r="L3477" t="b">
        <v>1</v>
      </c>
      <c r="M3477" t="s">
        <v>16689</v>
      </c>
      <c r="N3477" t="str">
        <f>"616.85/82"</f>
        <v>616.85/82</v>
      </c>
      <c r="P3477" t="b">
        <v>0</v>
      </c>
      <c r="R3477" t="str">
        <f>"9781558740143"</f>
        <v>9781558740143</v>
      </c>
      <c r="S3477" t="str">
        <f>"9780585106342"</f>
        <v>9780585106342</v>
      </c>
      <c r="T3477">
        <v>43475946</v>
      </c>
    </row>
    <row r="3478" spans="1:20" x14ac:dyDescent="0.25">
      <c r="A3478">
        <v>11741</v>
      </c>
      <c r="B3478" t="s">
        <v>16690</v>
      </c>
      <c r="C3478" t="s">
        <v>16691</v>
      </c>
      <c r="D3478" t="s">
        <v>6674</v>
      </c>
      <c r="E3478" t="s">
        <v>6674</v>
      </c>
      <c r="F3478">
        <v>1993</v>
      </c>
      <c r="G3478" t="s">
        <v>16681</v>
      </c>
      <c r="H3478" t="s">
        <v>16692</v>
      </c>
      <c r="I3478" t="s">
        <v>16693</v>
      </c>
      <c r="J3478" t="s">
        <v>26</v>
      </c>
      <c r="K3478" t="s">
        <v>27</v>
      </c>
      <c r="L3478" t="b">
        <v>1</v>
      </c>
      <c r="M3478" t="s">
        <v>16668</v>
      </c>
      <c r="N3478" t="str">
        <f>"158/.2"</f>
        <v>158/.2</v>
      </c>
      <c r="P3478" t="b">
        <v>0</v>
      </c>
      <c r="R3478" t="str">
        <f>"9781558742598"</f>
        <v>9781558742598</v>
      </c>
      <c r="S3478" t="str">
        <f>"9780585106335"</f>
        <v>9780585106335</v>
      </c>
      <c r="T3478">
        <v>43475945</v>
      </c>
    </row>
    <row r="3479" spans="1:20" x14ac:dyDescent="0.25">
      <c r="A3479">
        <v>11168</v>
      </c>
      <c r="B3479" t="s">
        <v>16694</v>
      </c>
      <c r="C3479" t="s">
        <v>16695</v>
      </c>
      <c r="D3479" t="s">
        <v>10310</v>
      </c>
      <c r="E3479" t="s">
        <v>10310</v>
      </c>
      <c r="F3479">
        <v>1967</v>
      </c>
      <c r="G3479" t="s">
        <v>16696</v>
      </c>
      <c r="H3479" t="s">
        <v>16697</v>
      </c>
      <c r="I3479" t="s">
        <v>16698</v>
      </c>
      <c r="J3479" t="s">
        <v>26</v>
      </c>
      <c r="K3479" t="s">
        <v>27</v>
      </c>
      <c r="L3479" t="b">
        <v>1</v>
      </c>
      <c r="M3479" t="s">
        <v>16699</v>
      </c>
      <c r="N3479" t="str">
        <f>"280/.4/098"</f>
        <v>280/.4/098</v>
      </c>
      <c r="P3479" t="b">
        <v>0</v>
      </c>
      <c r="R3479" t="str">
        <f>"9780826511065"</f>
        <v>9780826511065</v>
      </c>
      <c r="S3479" t="str">
        <f>"9780585138008"</f>
        <v>9780585138008</v>
      </c>
      <c r="T3479">
        <v>44959616</v>
      </c>
    </row>
    <row r="3480" spans="1:20" x14ac:dyDescent="0.25">
      <c r="A3480">
        <v>11167</v>
      </c>
      <c r="B3480" t="s">
        <v>16700</v>
      </c>
      <c r="D3480" t="s">
        <v>10310</v>
      </c>
      <c r="E3480" t="s">
        <v>10310</v>
      </c>
      <c r="F3480">
        <v>1956</v>
      </c>
      <c r="G3480" t="s">
        <v>489</v>
      </c>
      <c r="H3480" t="s">
        <v>16701</v>
      </c>
      <c r="I3480" t="s">
        <v>16702</v>
      </c>
      <c r="J3480" t="s">
        <v>26</v>
      </c>
      <c r="K3480" t="s">
        <v>27</v>
      </c>
      <c r="L3480" t="b">
        <v>1</v>
      </c>
      <c r="M3480" t="s">
        <v>16703</v>
      </c>
      <c r="N3480" t="str">
        <f>"842.4082"</f>
        <v>842.4082</v>
      </c>
      <c r="P3480" t="b">
        <v>1</v>
      </c>
      <c r="R3480" t="str">
        <f>"9780826510471"</f>
        <v>9780826510471</v>
      </c>
      <c r="S3480" t="str">
        <f>"9780585137995"</f>
        <v>9780585137995</v>
      </c>
      <c r="T3480">
        <v>44959585</v>
      </c>
    </row>
    <row r="3481" spans="1:20" x14ac:dyDescent="0.25">
      <c r="A3481">
        <v>11166</v>
      </c>
      <c r="B3481" t="s">
        <v>16704</v>
      </c>
      <c r="D3481" t="s">
        <v>10310</v>
      </c>
      <c r="E3481" t="s">
        <v>10310</v>
      </c>
      <c r="F3481">
        <v>1995</v>
      </c>
      <c r="G3481" t="s">
        <v>16705</v>
      </c>
      <c r="H3481" t="s">
        <v>16706</v>
      </c>
      <c r="I3481" t="s">
        <v>16707</v>
      </c>
      <c r="J3481" t="s">
        <v>26</v>
      </c>
      <c r="K3481" t="s">
        <v>27</v>
      </c>
      <c r="L3481" t="b">
        <v>1</v>
      </c>
      <c r="M3481" t="s">
        <v>16708</v>
      </c>
      <c r="N3481" t="str">
        <f>"782.42/1642/092"</f>
        <v>782.42/1642/092</v>
      </c>
      <c r="P3481" t="b">
        <v>0</v>
      </c>
      <c r="R3481" t="str">
        <f>"9780915608157"</f>
        <v>9780915608157</v>
      </c>
      <c r="S3481" t="str">
        <f>"9780585132754"</f>
        <v>9780585132754</v>
      </c>
      <c r="T3481">
        <v>43476729</v>
      </c>
    </row>
    <row r="3482" spans="1:20" x14ac:dyDescent="0.25">
      <c r="A3482">
        <v>11165</v>
      </c>
      <c r="B3482" t="s">
        <v>16709</v>
      </c>
      <c r="D3482" t="s">
        <v>10310</v>
      </c>
      <c r="E3482" t="s">
        <v>10310</v>
      </c>
      <c r="F3482">
        <v>1995</v>
      </c>
      <c r="G3482" t="s">
        <v>6400</v>
      </c>
      <c r="H3482" t="s">
        <v>1975</v>
      </c>
      <c r="I3482" t="s">
        <v>16707</v>
      </c>
      <c r="J3482" t="s">
        <v>26</v>
      </c>
      <c r="K3482" t="s">
        <v>27</v>
      </c>
      <c r="L3482" t="b">
        <v>1</v>
      </c>
      <c r="M3482" t="s">
        <v>16710</v>
      </c>
      <c r="N3482" t="str">
        <f>"780.92"</f>
        <v>780.92</v>
      </c>
      <c r="P3482" t="b">
        <v>0</v>
      </c>
      <c r="R3482" t="str">
        <f>"9780915608164"</f>
        <v>9780915608164</v>
      </c>
      <c r="S3482" t="str">
        <f>"9780585159539"</f>
        <v>9780585159539</v>
      </c>
      <c r="T3482">
        <v>44959551</v>
      </c>
    </row>
    <row r="3483" spans="1:20" x14ac:dyDescent="0.25">
      <c r="A3483">
        <v>11164</v>
      </c>
      <c r="B3483" t="s">
        <v>16711</v>
      </c>
      <c r="C3483" t="s">
        <v>16712</v>
      </c>
      <c r="D3483" t="s">
        <v>10310</v>
      </c>
      <c r="E3483" t="s">
        <v>10310</v>
      </c>
      <c r="F3483">
        <v>1974</v>
      </c>
      <c r="G3483" t="s">
        <v>16713</v>
      </c>
      <c r="H3483" t="s">
        <v>16714</v>
      </c>
      <c r="I3483" t="s">
        <v>16715</v>
      </c>
      <c r="J3483" t="s">
        <v>26</v>
      </c>
      <c r="K3483" t="s">
        <v>27</v>
      </c>
      <c r="L3483" t="b">
        <v>1</v>
      </c>
      <c r="M3483" t="s">
        <v>16716</v>
      </c>
      <c r="N3483" t="str">
        <f>"917.68/03/5"</f>
        <v>917.68/03/5</v>
      </c>
      <c r="P3483" t="b">
        <v>0</v>
      </c>
      <c r="R3483" t="str">
        <f>"9780826511843"</f>
        <v>9780826511843</v>
      </c>
      <c r="S3483" t="str">
        <f>"9780585132693"</f>
        <v>9780585132693</v>
      </c>
      <c r="T3483">
        <v>43476728</v>
      </c>
    </row>
    <row r="3484" spans="1:20" x14ac:dyDescent="0.25">
      <c r="A3484">
        <v>11163</v>
      </c>
      <c r="B3484" t="s">
        <v>16717</v>
      </c>
      <c r="C3484" t="s">
        <v>16718</v>
      </c>
      <c r="D3484" t="s">
        <v>10310</v>
      </c>
      <c r="E3484" t="s">
        <v>10310</v>
      </c>
      <c r="F3484">
        <v>1993</v>
      </c>
      <c r="G3484" t="s">
        <v>16719</v>
      </c>
      <c r="H3484" t="s">
        <v>16720</v>
      </c>
      <c r="J3484" t="s">
        <v>26</v>
      </c>
      <c r="K3484" t="s">
        <v>27</v>
      </c>
      <c r="L3484" t="b">
        <v>1</v>
      </c>
      <c r="M3484" t="s">
        <v>16721</v>
      </c>
      <c r="N3484" t="str">
        <f>"220.52/03"</f>
        <v>220.52/03</v>
      </c>
      <c r="P3484" t="b">
        <v>0</v>
      </c>
      <c r="R3484" t="str">
        <f>"9780826512468"</f>
        <v>9780826512468</v>
      </c>
      <c r="S3484" t="str">
        <f>"9780585132679"</f>
        <v>9780585132679</v>
      </c>
      <c r="T3484">
        <v>43476727</v>
      </c>
    </row>
    <row r="3485" spans="1:20" x14ac:dyDescent="0.25">
      <c r="A3485">
        <v>11161</v>
      </c>
      <c r="B3485" t="s">
        <v>16722</v>
      </c>
      <c r="D3485" t="s">
        <v>10310</v>
      </c>
      <c r="E3485" t="s">
        <v>10310</v>
      </c>
      <c r="F3485">
        <v>1973</v>
      </c>
      <c r="G3485" t="s">
        <v>2417</v>
      </c>
      <c r="H3485" t="s">
        <v>16723</v>
      </c>
      <c r="I3485" t="s">
        <v>16724</v>
      </c>
      <c r="J3485" t="s">
        <v>26</v>
      </c>
      <c r="K3485" t="s">
        <v>27</v>
      </c>
      <c r="L3485" t="b">
        <v>1</v>
      </c>
      <c r="M3485" t="s">
        <v>16725</v>
      </c>
      <c r="N3485" t="str">
        <f>"813/.4"</f>
        <v>813/.4</v>
      </c>
      <c r="P3485" t="b">
        <v>0</v>
      </c>
      <c r="R3485" t="str">
        <f>"9780826511805"</f>
        <v>9780826511805</v>
      </c>
      <c r="S3485" t="str">
        <f>"9780585103129"</f>
        <v>9780585103129</v>
      </c>
      <c r="T3485">
        <v>42922646</v>
      </c>
    </row>
    <row r="3486" spans="1:20" x14ac:dyDescent="0.25">
      <c r="A3486">
        <v>11160</v>
      </c>
      <c r="B3486" t="s">
        <v>16726</v>
      </c>
      <c r="C3486" t="s">
        <v>16727</v>
      </c>
      <c r="D3486" t="s">
        <v>10310</v>
      </c>
      <c r="E3486" t="s">
        <v>10310</v>
      </c>
      <c r="F3486">
        <v>1995</v>
      </c>
      <c r="G3486" t="s">
        <v>1550</v>
      </c>
      <c r="H3486" t="s">
        <v>16728</v>
      </c>
      <c r="J3486" t="s">
        <v>26</v>
      </c>
      <c r="K3486" t="s">
        <v>27</v>
      </c>
      <c r="L3486" t="b">
        <v>1</v>
      </c>
      <c r="M3486" t="s">
        <v>16729</v>
      </c>
      <c r="N3486" t="str">
        <f>"378.768/55"</f>
        <v>378.768/55</v>
      </c>
      <c r="P3486" t="b">
        <v>0</v>
      </c>
      <c r="R3486" t="str">
        <f>"9780826512642"</f>
        <v>9780826512642</v>
      </c>
      <c r="S3486" t="str">
        <f>"9780585103112"</f>
        <v>9780585103112</v>
      </c>
      <c r="T3486">
        <v>42922645</v>
      </c>
    </row>
    <row r="3487" spans="1:20" x14ac:dyDescent="0.25">
      <c r="A3487">
        <v>11159</v>
      </c>
      <c r="B3487" t="s">
        <v>16730</v>
      </c>
      <c r="C3487" t="s">
        <v>16731</v>
      </c>
      <c r="D3487" t="s">
        <v>10310</v>
      </c>
      <c r="E3487" t="s">
        <v>10310</v>
      </c>
      <c r="F3487">
        <v>1971</v>
      </c>
      <c r="G3487" t="s">
        <v>2417</v>
      </c>
      <c r="H3487" t="s">
        <v>16732</v>
      </c>
      <c r="I3487" t="s">
        <v>16733</v>
      </c>
      <c r="J3487" t="s">
        <v>26</v>
      </c>
      <c r="K3487" t="s">
        <v>27</v>
      </c>
      <c r="L3487" t="b">
        <v>1</v>
      </c>
      <c r="M3487" t="s">
        <v>16734</v>
      </c>
      <c r="N3487" t="str">
        <f>"810.9/005/2"</f>
        <v>810.9/005/2</v>
      </c>
      <c r="P3487" t="b">
        <v>0</v>
      </c>
      <c r="R3487" t="str">
        <f>"9780826511690"</f>
        <v>9780826511690</v>
      </c>
      <c r="S3487" t="str">
        <f>"9780585101026"</f>
        <v>9780585101026</v>
      </c>
      <c r="T3487">
        <v>42922540</v>
      </c>
    </row>
    <row r="3488" spans="1:20" x14ac:dyDescent="0.25">
      <c r="A3488">
        <v>11158</v>
      </c>
      <c r="B3488" t="s">
        <v>16735</v>
      </c>
      <c r="C3488" t="s">
        <v>16736</v>
      </c>
      <c r="D3488" t="s">
        <v>10310</v>
      </c>
      <c r="E3488" t="s">
        <v>10310</v>
      </c>
      <c r="F3488">
        <v>1988</v>
      </c>
      <c r="G3488" t="s">
        <v>4483</v>
      </c>
      <c r="H3488" t="s">
        <v>16737</v>
      </c>
      <c r="J3488" t="s">
        <v>26</v>
      </c>
      <c r="K3488" t="s">
        <v>27</v>
      </c>
      <c r="L3488" t="b">
        <v>1</v>
      </c>
      <c r="M3488" t="s">
        <v>16738</v>
      </c>
      <c r="N3488" t="str">
        <f>"191"</f>
        <v>191</v>
      </c>
      <c r="P3488" t="b">
        <v>0</v>
      </c>
      <c r="R3488" t="str">
        <f>"9780826512277"</f>
        <v>9780826512277</v>
      </c>
      <c r="S3488" t="str">
        <f>"9780585103105"</f>
        <v>9780585103105</v>
      </c>
      <c r="T3488">
        <v>42922644</v>
      </c>
    </row>
    <row r="3489" spans="1:20" x14ac:dyDescent="0.25">
      <c r="A3489">
        <v>11157</v>
      </c>
      <c r="B3489" t="s">
        <v>16739</v>
      </c>
      <c r="C3489" t="s">
        <v>16740</v>
      </c>
      <c r="D3489" t="s">
        <v>10310</v>
      </c>
      <c r="E3489" t="s">
        <v>10310</v>
      </c>
      <c r="F3489">
        <v>1995</v>
      </c>
      <c r="G3489" t="s">
        <v>6400</v>
      </c>
      <c r="H3489" t="s">
        <v>16741</v>
      </c>
      <c r="I3489" t="s">
        <v>16742</v>
      </c>
      <c r="J3489" t="s">
        <v>26</v>
      </c>
      <c r="K3489" t="s">
        <v>27</v>
      </c>
      <c r="L3489" t="b">
        <v>1</v>
      </c>
      <c r="M3489" t="s">
        <v>16743</v>
      </c>
      <c r="N3489" t="str">
        <f>"780.92"</f>
        <v>780.92</v>
      </c>
      <c r="P3489" t="b">
        <v>0</v>
      </c>
      <c r="R3489" t="str">
        <f>"9780915608188"</f>
        <v>9780915608188</v>
      </c>
      <c r="S3489" t="str">
        <f>"9780585132488"</f>
        <v>9780585132488</v>
      </c>
      <c r="T3489">
        <v>43476719</v>
      </c>
    </row>
    <row r="3490" spans="1:20" x14ac:dyDescent="0.25">
      <c r="A3490">
        <v>11156</v>
      </c>
      <c r="B3490" t="s">
        <v>16744</v>
      </c>
      <c r="D3490" t="s">
        <v>10310</v>
      </c>
      <c r="E3490" t="s">
        <v>10310</v>
      </c>
      <c r="F3490">
        <v>1968</v>
      </c>
      <c r="G3490" t="s">
        <v>5469</v>
      </c>
      <c r="H3490" t="s">
        <v>16745</v>
      </c>
      <c r="J3490" t="s">
        <v>26</v>
      </c>
      <c r="K3490" t="s">
        <v>27</v>
      </c>
      <c r="L3490" t="b">
        <v>1</v>
      </c>
      <c r="M3490" t="s">
        <v>16746</v>
      </c>
      <c r="N3490" t="str">
        <f>"869.1"</f>
        <v>869.1</v>
      </c>
      <c r="P3490" t="b">
        <v>0</v>
      </c>
      <c r="R3490" t="str">
        <f>"9780826511133"</f>
        <v>9780826511133</v>
      </c>
      <c r="S3490" t="str">
        <f>"9780585137988"</f>
        <v>9780585137988</v>
      </c>
      <c r="T3490">
        <v>44959521</v>
      </c>
    </row>
    <row r="3491" spans="1:20" x14ac:dyDescent="0.25">
      <c r="A3491">
        <v>11155</v>
      </c>
      <c r="B3491" t="s">
        <v>16747</v>
      </c>
      <c r="D3491" t="s">
        <v>10310</v>
      </c>
      <c r="E3491" t="s">
        <v>10310</v>
      </c>
      <c r="F3491">
        <v>1997</v>
      </c>
      <c r="G3491" t="s">
        <v>5014</v>
      </c>
      <c r="H3491" t="s">
        <v>16748</v>
      </c>
      <c r="I3491" t="s">
        <v>16749</v>
      </c>
      <c r="J3491" t="s">
        <v>26</v>
      </c>
      <c r="K3491" t="s">
        <v>27</v>
      </c>
      <c r="L3491" t="b">
        <v>1</v>
      </c>
      <c r="M3491" t="s">
        <v>16750</v>
      </c>
      <c r="N3491" t="str">
        <f>"511/.4"</f>
        <v>511/.4</v>
      </c>
      <c r="P3491" t="b">
        <v>0</v>
      </c>
      <c r="R3491" t="str">
        <f>"9780826512932"</f>
        <v>9780826512932</v>
      </c>
      <c r="S3491" t="str">
        <f>"9780585132457"</f>
        <v>9780585132457</v>
      </c>
      <c r="T3491">
        <v>44959484</v>
      </c>
    </row>
    <row r="3492" spans="1:20" x14ac:dyDescent="0.25">
      <c r="A3492">
        <v>11151</v>
      </c>
      <c r="B3492" t="s">
        <v>16751</v>
      </c>
      <c r="C3492" t="s">
        <v>16752</v>
      </c>
      <c r="D3492" t="s">
        <v>10310</v>
      </c>
      <c r="E3492" t="s">
        <v>10310</v>
      </c>
      <c r="F3492">
        <v>1986</v>
      </c>
      <c r="G3492" t="s">
        <v>16435</v>
      </c>
      <c r="H3492" t="s">
        <v>16753</v>
      </c>
      <c r="I3492" t="s">
        <v>16754</v>
      </c>
      <c r="J3492" t="s">
        <v>26</v>
      </c>
      <c r="K3492" t="s">
        <v>27</v>
      </c>
      <c r="L3492" t="b">
        <v>1</v>
      </c>
      <c r="M3492" t="s">
        <v>16755</v>
      </c>
      <c r="N3492" t="str">
        <f>"973.6/1"</f>
        <v>973.6/1</v>
      </c>
      <c r="P3492" t="b">
        <v>0</v>
      </c>
      <c r="R3492" t="str">
        <f>"9780826512178"</f>
        <v>9780826512178</v>
      </c>
      <c r="S3492" t="str">
        <f>"9780585132334"</f>
        <v>9780585132334</v>
      </c>
      <c r="T3492">
        <v>43476718</v>
      </c>
    </row>
    <row r="3493" spans="1:20" x14ac:dyDescent="0.25">
      <c r="A3493">
        <v>11150</v>
      </c>
      <c r="B3493" t="s">
        <v>16756</v>
      </c>
      <c r="D3493" t="s">
        <v>10310</v>
      </c>
      <c r="E3493" t="s">
        <v>10310</v>
      </c>
      <c r="F3493">
        <v>1998</v>
      </c>
      <c r="G3493" t="s">
        <v>11611</v>
      </c>
      <c r="H3493" t="s">
        <v>16757</v>
      </c>
      <c r="I3493" t="s">
        <v>16758</v>
      </c>
      <c r="J3493" t="s">
        <v>26</v>
      </c>
      <c r="K3493" t="s">
        <v>27</v>
      </c>
      <c r="L3493" t="b">
        <v>1</v>
      </c>
      <c r="M3493" t="s">
        <v>16759</v>
      </c>
      <c r="N3493" t="str">
        <f>"610/.1/5118"</f>
        <v>610/.1/5118</v>
      </c>
      <c r="O3493" t="s">
        <v>16760</v>
      </c>
      <c r="P3493" t="b">
        <v>0</v>
      </c>
      <c r="R3493" t="str">
        <f>"9780826513106"</f>
        <v>9780826513106</v>
      </c>
      <c r="S3493" t="str">
        <f>"9780585132280"</f>
        <v>9780585132280</v>
      </c>
      <c r="T3493">
        <v>43476717</v>
      </c>
    </row>
    <row r="3494" spans="1:20" x14ac:dyDescent="0.25">
      <c r="A3494">
        <v>11149</v>
      </c>
      <c r="B3494" t="s">
        <v>16761</v>
      </c>
      <c r="D3494" t="s">
        <v>10310</v>
      </c>
      <c r="E3494" t="s">
        <v>10310</v>
      </c>
      <c r="F3494">
        <v>1968</v>
      </c>
      <c r="G3494" t="s">
        <v>489</v>
      </c>
      <c r="H3494" t="s">
        <v>16762</v>
      </c>
      <c r="I3494" t="s">
        <v>16763</v>
      </c>
      <c r="J3494" t="s">
        <v>26</v>
      </c>
      <c r="K3494" t="s">
        <v>27</v>
      </c>
      <c r="L3494" t="b">
        <v>1</v>
      </c>
      <c r="M3494" t="s">
        <v>16703</v>
      </c>
      <c r="N3494" t="str">
        <f>"842/.4/08"</f>
        <v>842/.4/08</v>
      </c>
      <c r="P3494" t="b">
        <v>1</v>
      </c>
      <c r="R3494" t="str">
        <f>"9780826511102"</f>
        <v>9780826511102</v>
      </c>
      <c r="S3494" t="str">
        <f>"9780585137971"</f>
        <v>9780585137971</v>
      </c>
      <c r="T3494">
        <v>44959414</v>
      </c>
    </row>
    <row r="3495" spans="1:20" x14ac:dyDescent="0.25">
      <c r="A3495">
        <v>11147</v>
      </c>
      <c r="B3495" t="s">
        <v>16764</v>
      </c>
      <c r="D3495" t="s">
        <v>10310</v>
      </c>
      <c r="E3495" t="s">
        <v>10310</v>
      </c>
      <c r="F3495">
        <v>1995</v>
      </c>
      <c r="G3495" t="s">
        <v>16765</v>
      </c>
      <c r="H3495" t="s">
        <v>16766</v>
      </c>
      <c r="I3495" t="s">
        <v>16767</v>
      </c>
      <c r="J3495" t="s">
        <v>26</v>
      </c>
      <c r="K3495" t="s">
        <v>27</v>
      </c>
      <c r="L3495" t="b">
        <v>1</v>
      </c>
      <c r="M3495" t="s">
        <v>16768</v>
      </c>
      <c r="N3495" t="str">
        <f>"361.7/4/092;B"</f>
        <v>361.7/4/092;B</v>
      </c>
      <c r="P3495" t="b">
        <v>0</v>
      </c>
      <c r="R3495" t="str">
        <f>"9780826512567"</f>
        <v>9780826512567</v>
      </c>
      <c r="S3495" t="str">
        <f>"9780585132150"</f>
        <v>9780585132150</v>
      </c>
      <c r="T3495">
        <v>43476713</v>
      </c>
    </row>
    <row r="3496" spans="1:20" x14ac:dyDescent="0.25">
      <c r="A3496">
        <v>11146</v>
      </c>
      <c r="B3496" t="s">
        <v>16769</v>
      </c>
      <c r="D3496" t="s">
        <v>10310</v>
      </c>
      <c r="E3496" t="s">
        <v>10310</v>
      </c>
      <c r="F3496">
        <v>1958</v>
      </c>
      <c r="G3496" t="s">
        <v>489</v>
      </c>
      <c r="H3496" t="s">
        <v>16770</v>
      </c>
      <c r="I3496" t="s">
        <v>16771</v>
      </c>
      <c r="J3496" t="s">
        <v>26</v>
      </c>
      <c r="K3496" t="s">
        <v>27</v>
      </c>
      <c r="L3496" t="b">
        <v>1</v>
      </c>
      <c r="M3496" t="s">
        <v>16772</v>
      </c>
      <c r="N3496" t="str">
        <f>"842.409"</f>
        <v>842.409</v>
      </c>
      <c r="P3496" t="b">
        <v>1</v>
      </c>
      <c r="R3496" t="str">
        <f>"9780826510495"</f>
        <v>9780826510495</v>
      </c>
      <c r="S3496" t="str">
        <f>"9780585137964"</f>
        <v>9780585137964</v>
      </c>
      <c r="T3496">
        <v>44959377</v>
      </c>
    </row>
    <row r="3497" spans="1:20" x14ac:dyDescent="0.25">
      <c r="A3497">
        <v>11145</v>
      </c>
      <c r="B3497" t="s">
        <v>16773</v>
      </c>
      <c r="D3497" t="s">
        <v>10310</v>
      </c>
      <c r="E3497" t="s">
        <v>10310</v>
      </c>
      <c r="F3497">
        <v>1998</v>
      </c>
      <c r="G3497" t="s">
        <v>5014</v>
      </c>
      <c r="H3497" t="s">
        <v>16774</v>
      </c>
      <c r="I3497" t="s">
        <v>16775</v>
      </c>
      <c r="J3497" t="s">
        <v>26</v>
      </c>
      <c r="K3497" t="s">
        <v>27</v>
      </c>
      <c r="L3497" t="b">
        <v>1</v>
      </c>
      <c r="M3497" t="s">
        <v>16776</v>
      </c>
      <c r="N3497" t="str">
        <f>"511/.4"</f>
        <v>511/.4</v>
      </c>
      <c r="O3497" t="s">
        <v>16773</v>
      </c>
      <c r="P3497" t="b">
        <v>0</v>
      </c>
      <c r="R3497" t="str">
        <f>"9780826513267"</f>
        <v>9780826513267</v>
      </c>
      <c r="S3497" t="str">
        <f>"9780585159522"</f>
        <v>9780585159522</v>
      </c>
      <c r="T3497">
        <v>44959323</v>
      </c>
    </row>
    <row r="3498" spans="1:20" x14ac:dyDescent="0.25">
      <c r="A3498">
        <v>11143</v>
      </c>
      <c r="B3498" t="s">
        <v>16777</v>
      </c>
      <c r="C3498" t="s">
        <v>16778</v>
      </c>
      <c r="D3498" t="s">
        <v>10310</v>
      </c>
      <c r="E3498" t="s">
        <v>10310</v>
      </c>
      <c r="F3498">
        <v>1996</v>
      </c>
      <c r="G3498" t="s">
        <v>16435</v>
      </c>
      <c r="H3498" t="s">
        <v>16779</v>
      </c>
      <c r="J3498" t="s">
        <v>26</v>
      </c>
      <c r="K3498" t="s">
        <v>27</v>
      </c>
      <c r="L3498" t="b">
        <v>1</v>
      </c>
      <c r="M3498" t="s">
        <v>16780</v>
      </c>
      <c r="N3498" t="str">
        <f>"976.8/55"</f>
        <v>976.8/55</v>
      </c>
      <c r="P3498" t="b">
        <v>0</v>
      </c>
      <c r="R3498" t="str">
        <f>"9780826512772"</f>
        <v>9780826512772</v>
      </c>
      <c r="S3498" t="str">
        <f>"9780585132006"</f>
        <v>9780585132006</v>
      </c>
      <c r="T3498">
        <v>43476709</v>
      </c>
    </row>
    <row r="3499" spans="1:20" x14ac:dyDescent="0.25">
      <c r="A3499">
        <v>11142</v>
      </c>
      <c r="B3499" t="s">
        <v>16781</v>
      </c>
      <c r="C3499" t="s">
        <v>16782</v>
      </c>
      <c r="D3499" t="s">
        <v>10310</v>
      </c>
      <c r="E3499" t="s">
        <v>10310</v>
      </c>
      <c r="F3499">
        <v>1991</v>
      </c>
      <c r="G3499" t="s">
        <v>8167</v>
      </c>
      <c r="H3499" t="s">
        <v>16783</v>
      </c>
      <c r="I3499" t="s">
        <v>16784</v>
      </c>
      <c r="J3499" t="s">
        <v>26</v>
      </c>
      <c r="K3499" t="s">
        <v>27</v>
      </c>
      <c r="L3499" t="b">
        <v>1</v>
      </c>
      <c r="M3499" t="s">
        <v>16785</v>
      </c>
      <c r="N3499" t="str">
        <f>"821/.3"</f>
        <v>821/.3</v>
      </c>
      <c r="P3499" t="b">
        <v>0</v>
      </c>
      <c r="R3499" t="str">
        <f>"9780826512413"</f>
        <v>9780826512413</v>
      </c>
      <c r="S3499" t="str">
        <f>"9780585131986"</f>
        <v>9780585131986</v>
      </c>
      <c r="T3499">
        <v>44959250</v>
      </c>
    </row>
    <row r="3500" spans="1:20" x14ac:dyDescent="0.25">
      <c r="A3500">
        <v>11140</v>
      </c>
      <c r="B3500" t="s">
        <v>16786</v>
      </c>
      <c r="D3500" t="s">
        <v>10310</v>
      </c>
      <c r="E3500" t="s">
        <v>10310</v>
      </c>
      <c r="F3500">
        <v>1974</v>
      </c>
      <c r="G3500" t="s">
        <v>5465</v>
      </c>
      <c r="H3500" t="s">
        <v>16787</v>
      </c>
      <c r="I3500" t="s">
        <v>16788</v>
      </c>
      <c r="J3500" t="s">
        <v>26</v>
      </c>
      <c r="K3500" t="s">
        <v>27</v>
      </c>
      <c r="L3500" t="b">
        <v>1</v>
      </c>
      <c r="M3500" t="s">
        <v>16789</v>
      </c>
      <c r="N3500" t="str">
        <f>"891.7/09/003"</f>
        <v>891.7/09/003</v>
      </c>
      <c r="P3500" t="b">
        <v>0</v>
      </c>
      <c r="R3500" t="str">
        <f>"9780826511881"</f>
        <v>9780826511881</v>
      </c>
      <c r="S3500" t="str">
        <f>"9780585103099"</f>
        <v>9780585103099</v>
      </c>
      <c r="T3500">
        <v>44959203</v>
      </c>
    </row>
    <row r="3501" spans="1:20" x14ac:dyDescent="0.25">
      <c r="A3501">
        <v>11139</v>
      </c>
      <c r="B3501" t="s">
        <v>16790</v>
      </c>
      <c r="C3501" t="s">
        <v>16791</v>
      </c>
      <c r="D3501" t="s">
        <v>10310</v>
      </c>
      <c r="E3501" t="s">
        <v>10310</v>
      </c>
      <c r="F3501">
        <v>1991</v>
      </c>
      <c r="G3501" t="s">
        <v>16435</v>
      </c>
      <c r="H3501" t="s">
        <v>16792</v>
      </c>
      <c r="J3501" t="s">
        <v>26</v>
      </c>
      <c r="K3501" t="s">
        <v>27</v>
      </c>
      <c r="L3501" t="b">
        <v>1</v>
      </c>
      <c r="M3501" t="s">
        <v>16793</v>
      </c>
      <c r="N3501" t="str">
        <f>"976.8/55"</f>
        <v>976.8/55</v>
      </c>
      <c r="P3501" t="b">
        <v>0</v>
      </c>
      <c r="R3501" t="str">
        <f>"9780826512444"</f>
        <v>9780826512444</v>
      </c>
      <c r="S3501" t="str">
        <f>"9780585131856"</f>
        <v>9780585131856</v>
      </c>
      <c r="T3501">
        <v>43476701</v>
      </c>
    </row>
    <row r="3502" spans="1:20" x14ac:dyDescent="0.25">
      <c r="A3502">
        <v>11138</v>
      </c>
      <c r="B3502" t="s">
        <v>16794</v>
      </c>
      <c r="C3502" t="s">
        <v>16795</v>
      </c>
      <c r="D3502" t="s">
        <v>10310</v>
      </c>
      <c r="E3502" t="s">
        <v>10310</v>
      </c>
      <c r="F3502">
        <v>1978</v>
      </c>
      <c r="G3502" t="s">
        <v>1550</v>
      </c>
      <c r="H3502" t="s">
        <v>16796</v>
      </c>
      <c r="J3502" t="s">
        <v>26</v>
      </c>
      <c r="K3502" t="s">
        <v>27</v>
      </c>
      <c r="L3502" t="b">
        <v>1</v>
      </c>
      <c r="M3502" t="s">
        <v>16797</v>
      </c>
      <c r="N3502" t="str">
        <f>"378.768/55"</f>
        <v>378.768/55</v>
      </c>
      <c r="P3502" t="b">
        <v>0</v>
      </c>
      <c r="R3502" t="str">
        <f>"9780826512109"</f>
        <v>9780826512109</v>
      </c>
      <c r="S3502" t="str">
        <f>"9780585131832"</f>
        <v>9780585131832</v>
      </c>
      <c r="T3502">
        <v>44959158</v>
      </c>
    </row>
    <row r="3503" spans="1:20" x14ac:dyDescent="0.25">
      <c r="A3503">
        <v>11137</v>
      </c>
      <c r="B3503" t="s">
        <v>16798</v>
      </c>
      <c r="D3503" t="s">
        <v>10310</v>
      </c>
      <c r="E3503" t="s">
        <v>10310</v>
      </c>
      <c r="F3503">
        <v>1971</v>
      </c>
      <c r="G3503" t="s">
        <v>2428</v>
      </c>
      <c r="H3503" t="s">
        <v>16799</v>
      </c>
      <c r="I3503" t="s">
        <v>16800</v>
      </c>
      <c r="J3503" t="s">
        <v>26</v>
      </c>
      <c r="K3503" t="s">
        <v>27</v>
      </c>
      <c r="L3503" t="b">
        <v>1</v>
      </c>
      <c r="M3503" t="s">
        <v>16801</v>
      </c>
      <c r="N3503" t="str">
        <f>"323.4/0924;B"</f>
        <v>323.4/0924;B</v>
      </c>
      <c r="P3503" t="b">
        <v>0</v>
      </c>
      <c r="R3503" t="str">
        <f>"9780826511720"</f>
        <v>9780826511720</v>
      </c>
      <c r="S3503" t="str">
        <f>"9780585131795"</f>
        <v>9780585131795</v>
      </c>
      <c r="T3503">
        <v>43476698</v>
      </c>
    </row>
    <row r="3504" spans="1:20" x14ac:dyDescent="0.25">
      <c r="A3504">
        <v>11135</v>
      </c>
      <c r="B3504" t="s">
        <v>16802</v>
      </c>
      <c r="D3504" t="s">
        <v>10310</v>
      </c>
      <c r="E3504" t="s">
        <v>10310</v>
      </c>
      <c r="F3504">
        <v>1990</v>
      </c>
      <c r="G3504" t="s">
        <v>4249</v>
      </c>
      <c r="H3504" t="s">
        <v>16803</v>
      </c>
      <c r="I3504" t="s">
        <v>16804</v>
      </c>
      <c r="J3504" t="s">
        <v>26</v>
      </c>
      <c r="K3504" t="s">
        <v>27</v>
      </c>
      <c r="L3504" t="b">
        <v>1</v>
      </c>
      <c r="M3504" t="s">
        <v>16805</v>
      </c>
      <c r="N3504" t="str">
        <f>"811/.54"</f>
        <v>811/.54</v>
      </c>
      <c r="P3504" t="b">
        <v>0</v>
      </c>
      <c r="R3504" t="str">
        <f>"9780826512390"</f>
        <v>9780826512390</v>
      </c>
      <c r="S3504" t="str">
        <f>"9780585131733"</f>
        <v>9780585131733</v>
      </c>
      <c r="T3504">
        <v>43476693</v>
      </c>
    </row>
    <row r="3505" spans="1:20" x14ac:dyDescent="0.25">
      <c r="A3505">
        <v>11133</v>
      </c>
      <c r="B3505" t="s">
        <v>16806</v>
      </c>
      <c r="C3505" t="s">
        <v>16807</v>
      </c>
      <c r="D3505" t="s">
        <v>10310</v>
      </c>
      <c r="E3505" t="s">
        <v>10310</v>
      </c>
      <c r="F3505">
        <v>1985</v>
      </c>
      <c r="G3505" t="s">
        <v>2666</v>
      </c>
      <c r="H3505" t="s">
        <v>16808</v>
      </c>
      <c r="J3505" t="s">
        <v>26</v>
      </c>
      <c r="K3505" t="s">
        <v>27</v>
      </c>
      <c r="L3505" t="b">
        <v>1</v>
      </c>
      <c r="M3505" t="s">
        <v>16809</v>
      </c>
      <c r="N3505" t="str">
        <f>"973.7"</f>
        <v>973.7</v>
      </c>
      <c r="P3505" t="b">
        <v>0</v>
      </c>
      <c r="R3505" t="str">
        <f>"9780826512536"</f>
        <v>9780826512536</v>
      </c>
      <c r="S3505" t="str">
        <f>"9780585131658"</f>
        <v>9780585131658</v>
      </c>
      <c r="T3505">
        <v>43476689</v>
      </c>
    </row>
    <row r="3506" spans="1:20" x14ac:dyDescent="0.25">
      <c r="A3506">
        <v>11131</v>
      </c>
      <c r="B3506" t="s">
        <v>16810</v>
      </c>
      <c r="C3506" t="s">
        <v>16811</v>
      </c>
      <c r="D3506" t="s">
        <v>10310</v>
      </c>
      <c r="E3506" t="s">
        <v>10310</v>
      </c>
      <c r="F3506">
        <v>1989</v>
      </c>
      <c r="G3506" t="s">
        <v>2417</v>
      </c>
      <c r="H3506" t="s">
        <v>16812</v>
      </c>
      <c r="I3506" t="s">
        <v>16813</v>
      </c>
      <c r="J3506" t="s">
        <v>26</v>
      </c>
      <c r="K3506" t="s">
        <v>27</v>
      </c>
      <c r="L3506" t="b">
        <v>1</v>
      </c>
      <c r="M3506" t="s">
        <v>16814</v>
      </c>
      <c r="N3506" t="str">
        <f>"813/.3"</f>
        <v>813/.3</v>
      </c>
      <c r="P3506" t="b">
        <v>0</v>
      </c>
      <c r="R3506" t="str">
        <f>"9780826512345"</f>
        <v>9780826512345</v>
      </c>
      <c r="S3506" t="str">
        <f>"9780585131603"</f>
        <v>9780585131603</v>
      </c>
      <c r="T3506">
        <v>44959088</v>
      </c>
    </row>
    <row r="3507" spans="1:20" x14ac:dyDescent="0.25">
      <c r="A3507">
        <v>11130</v>
      </c>
      <c r="B3507" t="s">
        <v>16815</v>
      </c>
      <c r="C3507" t="s">
        <v>16816</v>
      </c>
      <c r="D3507" t="s">
        <v>10310</v>
      </c>
      <c r="E3507" t="s">
        <v>10310</v>
      </c>
      <c r="F3507">
        <v>1963</v>
      </c>
      <c r="G3507" t="s">
        <v>1026</v>
      </c>
      <c r="H3507" t="s">
        <v>16817</v>
      </c>
      <c r="J3507" t="s">
        <v>26</v>
      </c>
      <c r="K3507" t="s">
        <v>27</v>
      </c>
      <c r="L3507" t="b">
        <v>1</v>
      </c>
      <c r="M3507" t="s">
        <v>16818</v>
      </c>
      <c r="N3507" t="str">
        <f>"828.4"</f>
        <v>828.4</v>
      </c>
      <c r="P3507" t="b">
        <v>0</v>
      </c>
      <c r="R3507" t="str">
        <f>"9780826510624"</f>
        <v>9780826510624</v>
      </c>
      <c r="S3507" t="str">
        <f>"9780585137957"</f>
        <v>9780585137957</v>
      </c>
      <c r="T3507">
        <v>44959052</v>
      </c>
    </row>
    <row r="3508" spans="1:20" x14ac:dyDescent="0.25">
      <c r="A3508">
        <v>11128</v>
      </c>
      <c r="B3508" t="s">
        <v>16819</v>
      </c>
      <c r="C3508" t="s">
        <v>7319</v>
      </c>
      <c r="D3508" t="s">
        <v>10310</v>
      </c>
      <c r="E3508" t="s">
        <v>10310</v>
      </c>
      <c r="F3508">
        <v>1984</v>
      </c>
      <c r="G3508" t="s">
        <v>2203</v>
      </c>
      <c r="H3508" t="s">
        <v>16820</v>
      </c>
      <c r="J3508" t="s">
        <v>26</v>
      </c>
      <c r="K3508" t="s">
        <v>27</v>
      </c>
      <c r="L3508" t="b">
        <v>1</v>
      </c>
      <c r="M3508" t="s">
        <v>16821</v>
      </c>
      <c r="N3508" t="str">
        <f>"813.54"</f>
        <v>813.54</v>
      </c>
      <c r="P3508" t="b">
        <v>1</v>
      </c>
      <c r="R3508" t="str">
        <f>"9780826512130"</f>
        <v>9780826512130</v>
      </c>
      <c r="S3508" t="str">
        <f>"9780585131467"</f>
        <v>9780585131467</v>
      </c>
      <c r="T3508">
        <v>44958979</v>
      </c>
    </row>
    <row r="3509" spans="1:20" x14ac:dyDescent="0.25">
      <c r="A3509">
        <v>11127</v>
      </c>
      <c r="B3509" t="s">
        <v>16822</v>
      </c>
      <c r="C3509" t="s">
        <v>16823</v>
      </c>
      <c r="D3509" t="s">
        <v>10310</v>
      </c>
      <c r="E3509" t="s">
        <v>10310</v>
      </c>
      <c r="F3509">
        <v>1969</v>
      </c>
      <c r="G3509" t="s">
        <v>4483</v>
      </c>
      <c r="H3509" t="s">
        <v>16824</v>
      </c>
      <c r="I3509" t="s">
        <v>4409</v>
      </c>
      <c r="J3509" t="s">
        <v>26</v>
      </c>
      <c r="K3509" t="s">
        <v>27</v>
      </c>
      <c r="L3509" t="b">
        <v>1</v>
      </c>
      <c r="M3509" t="s">
        <v>16825</v>
      </c>
      <c r="N3509" t="str">
        <f>"191"</f>
        <v>191</v>
      </c>
      <c r="P3509" t="b">
        <v>0</v>
      </c>
      <c r="R3509" t="str">
        <f>"9780826511317"</f>
        <v>9780826511317</v>
      </c>
      <c r="S3509" t="str">
        <f>"9780585131436"</f>
        <v>9780585131436</v>
      </c>
      <c r="T3509">
        <v>43476683</v>
      </c>
    </row>
    <row r="3510" spans="1:20" x14ac:dyDescent="0.25">
      <c r="A3510">
        <v>11126</v>
      </c>
      <c r="B3510" t="s">
        <v>16826</v>
      </c>
      <c r="D3510" t="s">
        <v>10310</v>
      </c>
      <c r="E3510" t="s">
        <v>10310</v>
      </c>
      <c r="F3510">
        <v>1995</v>
      </c>
      <c r="G3510" t="s">
        <v>16827</v>
      </c>
      <c r="H3510" t="s">
        <v>16828</v>
      </c>
      <c r="I3510" t="s">
        <v>16829</v>
      </c>
      <c r="J3510" t="s">
        <v>26</v>
      </c>
      <c r="K3510" t="s">
        <v>27</v>
      </c>
      <c r="L3510" t="b">
        <v>1</v>
      </c>
      <c r="M3510" t="s">
        <v>16830</v>
      </c>
      <c r="N3510" t="str">
        <f>"179/.9"</f>
        <v>179/.9</v>
      </c>
      <c r="O3510" t="s">
        <v>15218</v>
      </c>
      <c r="P3510" t="b">
        <v>0</v>
      </c>
      <c r="R3510" t="str">
        <f>"9780826512673"</f>
        <v>9780826512673</v>
      </c>
      <c r="S3510" t="str">
        <f>"9780585131412"</f>
        <v>9780585131412</v>
      </c>
      <c r="T3510">
        <v>43476682</v>
      </c>
    </row>
    <row r="3511" spans="1:20" x14ac:dyDescent="0.25">
      <c r="A3511">
        <v>11125</v>
      </c>
      <c r="B3511" t="s">
        <v>16831</v>
      </c>
      <c r="D3511" t="s">
        <v>10310</v>
      </c>
      <c r="E3511" t="s">
        <v>10310</v>
      </c>
      <c r="F3511">
        <v>1987</v>
      </c>
      <c r="G3511" t="s">
        <v>7845</v>
      </c>
      <c r="H3511" t="s">
        <v>16832</v>
      </c>
      <c r="I3511" t="s">
        <v>16833</v>
      </c>
      <c r="J3511" t="s">
        <v>26</v>
      </c>
      <c r="K3511" t="s">
        <v>27</v>
      </c>
      <c r="L3511" t="b">
        <v>1</v>
      </c>
      <c r="M3511" t="s">
        <v>16834</v>
      </c>
      <c r="N3511" t="str">
        <f>"128"</f>
        <v>128</v>
      </c>
      <c r="P3511" t="b">
        <v>0</v>
      </c>
      <c r="R3511" t="str">
        <f>"9780826512222"</f>
        <v>9780826512222</v>
      </c>
      <c r="S3511" t="str">
        <f>"9780585131382"</f>
        <v>9780585131382</v>
      </c>
      <c r="T3511">
        <v>43476679</v>
      </c>
    </row>
    <row r="3512" spans="1:20" x14ac:dyDescent="0.25">
      <c r="A3512">
        <v>11124</v>
      </c>
      <c r="B3512" t="s">
        <v>16835</v>
      </c>
      <c r="C3512" t="s">
        <v>16836</v>
      </c>
      <c r="D3512" t="s">
        <v>10310</v>
      </c>
      <c r="E3512" t="s">
        <v>10310</v>
      </c>
      <c r="F3512">
        <v>1988</v>
      </c>
      <c r="G3512" t="s">
        <v>797</v>
      </c>
      <c r="H3512" t="s">
        <v>16837</v>
      </c>
      <c r="I3512" t="s">
        <v>16838</v>
      </c>
      <c r="J3512" t="s">
        <v>26</v>
      </c>
      <c r="K3512" t="s">
        <v>27</v>
      </c>
      <c r="L3512" t="b">
        <v>1</v>
      </c>
      <c r="M3512" t="s">
        <v>16839</v>
      </c>
      <c r="N3512" t="str">
        <f>"821/.7"</f>
        <v>821/.7</v>
      </c>
      <c r="P3512" t="b">
        <v>0</v>
      </c>
      <c r="R3512" t="str">
        <f>"9780826512185"</f>
        <v>9780826512185</v>
      </c>
      <c r="S3512" t="str">
        <f>"9780585131351"</f>
        <v>9780585131351</v>
      </c>
      <c r="T3512">
        <v>43476678</v>
      </c>
    </row>
    <row r="3513" spans="1:20" x14ac:dyDescent="0.25">
      <c r="A3513">
        <v>11093</v>
      </c>
      <c r="B3513" t="s">
        <v>16840</v>
      </c>
      <c r="D3513" t="s">
        <v>10310</v>
      </c>
      <c r="E3513" t="s">
        <v>10310</v>
      </c>
      <c r="F3513">
        <v>1990</v>
      </c>
      <c r="G3513" t="s">
        <v>4566</v>
      </c>
      <c r="H3513" t="s">
        <v>16841</v>
      </c>
      <c r="I3513" t="s">
        <v>16842</v>
      </c>
      <c r="J3513" t="s">
        <v>26</v>
      </c>
      <c r="K3513" t="s">
        <v>27</v>
      </c>
      <c r="L3513" t="b">
        <v>1</v>
      </c>
      <c r="M3513" t="s">
        <v>16843</v>
      </c>
      <c r="N3513" t="str">
        <f>"883/.01"</f>
        <v>883/.01</v>
      </c>
      <c r="P3513" t="b">
        <v>0</v>
      </c>
      <c r="R3513" t="str">
        <f>"9780826512369"</f>
        <v>9780826512369</v>
      </c>
      <c r="S3513" t="str">
        <f>"9780585105826"</f>
        <v>9780585105826</v>
      </c>
      <c r="T3513">
        <v>42922772</v>
      </c>
    </row>
    <row r="3514" spans="1:20" x14ac:dyDescent="0.25">
      <c r="A3514">
        <v>11092</v>
      </c>
      <c r="B3514" t="s">
        <v>16844</v>
      </c>
      <c r="C3514" t="s">
        <v>16845</v>
      </c>
      <c r="D3514" t="s">
        <v>10310</v>
      </c>
      <c r="E3514" t="s">
        <v>10310</v>
      </c>
      <c r="F3514">
        <v>1968</v>
      </c>
      <c r="G3514" t="s">
        <v>8798</v>
      </c>
      <c r="H3514" t="s">
        <v>16846</v>
      </c>
      <c r="J3514" t="s">
        <v>26</v>
      </c>
      <c r="K3514" t="s">
        <v>27</v>
      </c>
      <c r="L3514" t="b">
        <v>1</v>
      </c>
      <c r="M3514" t="s">
        <v>16847</v>
      </c>
      <c r="N3514" t="str">
        <f>"285.8/0924"</f>
        <v>285.8/0924</v>
      </c>
      <c r="P3514" t="b">
        <v>0</v>
      </c>
      <c r="R3514" t="str">
        <f>"9780826511232"</f>
        <v>9780826511232</v>
      </c>
      <c r="S3514" t="str">
        <f>"9780585105611"</f>
        <v>9780585105611</v>
      </c>
      <c r="T3514">
        <v>42922756</v>
      </c>
    </row>
    <row r="3515" spans="1:20" x14ac:dyDescent="0.25">
      <c r="A3515">
        <v>11091</v>
      </c>
      <c r="B3515" t="s">
        <v>16848</v>
      </c>
      <c r="C3515" t="s">
        <v>16849</v>
      </c>
      <c r="D3515" t="s">
        <v>10310</v>
      </c>
      <c r="E3515" t="s">
        <v>10310</v>
      </c>
      <c r="F3515">
        <v>1990</v>
      </c>
      <c r="G3515" t="s">
        <v>3779</v>
      </c>
      <c r="H3515" t="s">
        <v>16850</v>
      </c>
      <c r="I3515" t="s">
        <v>16851</v>
      </c>
      <c r="J3515" t="s">
        <v>26</v>
      </c>
      <c r="K3515" t="s">
        <v>27</v>
      </c>
      <c r="L3515" t="b">
        <v>1</v>
      </c>
      <c r="M3515" t="s">
        <v>16852</v>
      </c>
      <c r="N3515" t="str">
        <f>"940.54/8173"</f>
        <v>940.54/8173</v>
      </c>
      <c r="P3515" t="b">
        <v>0</v>
      </c>
      <c r="R3515" t="str">
        <f>"9780826512376"</f>
        <v>9780826512376</v>
      </c>
      <c r="S3515" t="str">
        <f>"9780585101224"</f>
        <v>9780585101224</v>
      </c>
      <c r="T3515">
        <v>42922554</v>
      </c>
    </row>
    <row r="3516" spans="1:20" x14ac:dyDescent="0.25">
      <c r="A3516">
        <v>11090</v>
      </c>
      <c r="B3516" t="s">
        <v>16853</v>
      </c>
      <c r="C3516" t="s">
        <v>16854</v>
      </c>
      <c r="D3516" t="s">
        <v>10310</v>
      </c>
      <c r="E3516" t="s">
        <v>10310</v>
      </c>
      <c r="F3516">
        <v>1969</v>
      </c>
      <c r="G3516" t="s">
        <v>797</v>
      </c>
      <c r="H3516" t="s">
        <v>16855</v>
      </c>
      <c r="I3516" t="s">
        <v>16856</v>
      </c>
      <c r="J3516" t="s">
        <v>26</v>
      </c>
      <c r="K3516" t="s">
        <v>27</v>
      </c>
      <c r="L3516" t="b">
        <v>1</v>
      </c>
      <c r="M3516" t="s">
        <v>16818</v>
      </c>
      <c r="N3516" t="str">
        <f>"821/.5"</f>
        <v>821/.5</v>
      </c>
      <c r="P3516" t="b">
        <v>0</v>
      </c>
      <c r="R3516" t="str">
        <f>"9780826511386"</f>
        <v>9780826511386</v>
      </c>
      <c r="S3516" t="str">
        <f>"9780585103426"</f>
        <v>9780585103426</v>
      </c>
      <c r="T3516">
        <v>42922652</v>
      </c>
    </row>
    <row r="3517" spans="1:20" x14ac:dyDescent="0.25">
      <c r="A3517">
        <v>11089</v>
      </c>
      <c r="B3517" t="s">
        <v>16857</v>
      </c>
      <c r="C3517" t="s">
        <v>16858</v>
      </c>
      <c r="D3517" t="s">
        <v>10310</v>
      </c>
      <c r="E3517" t="s">
        <v>10310</v>
      </c>
      <c r="F3517">
        <v>1973</v>
      </c>
      <c r="G3517" t="s">
        <v>15196</v>
      </c>
      <c r="H3517" t="s">
        <v>16859</v>
      </c>
      <c r="J3517" t="s">
        <v>26</v>
      </c>
      <c r="K3517" t="s">
        <v>27</v>
      </c>
      <c r="L3517" t="b">
        <v>1</v>
      </c>
      <c r="M3517" t="s">
        <v>16860</v>
      </c>
      <c r="N3517" t="str">
        <f>"262/.135/0924"</f>
        <v>262/.135/0924</v>
      </c>
      <c r="P3517" t="b">
        <v>0</v>
      </c>
      <c r="R3517" t="str">
        <f>"9780826511829"</f>
        <v>9780826511829</v>
      </c>
      <c r="S3517" t="str">
        <f>"9780585110318"</f>
        <v>9780585110318</v>
      </c>
      <c r="T3517">
        <v>44958943</v>
      </c>
    </row>
    <row r="3518" spans="1:20" x14ac:dyDescent="0.25">
      <c r="A3518">
        <v>11088</v>
      </c>
      <c r="B3518" t="s">
        <v>16861</v>
      </c>
      <c r="C3518" t="s">
        <v>16862</v>
      </c>
      <c r="D3518" t="s">
        <v>10310</v>
      </c>
      <c r="E3518" t="s">
        <v>10310</v>
      </c>
      <c r="F3518">
        <v>1994</v>
      </c>
      <c r="G3518" t="s">
        <v>2666</v>
      </c>
      <c r="H3518" t="s">
        <v>16863</v>
      </c>
      <c r="I3518" t="s">
        <v>16864</v>
      </c>
      <c r="J3518" t="s">
        <v>26</v>
      </c>
      <c r="K3518" t="s">
        <v>27</v>
      </c>
      <c r="L3518" t="b">
        <v>1</v>
      </c>
      <c r="M3518" t="s">
        <v>16865</v>
      </c>
      <c r="N3518" t="str">
        <f>"973.73/013/0924B"</f>
        <v>973.73/013/0924B</v>
      </c>
      <c r="P3518" t="b">
        <v>0</v>
      </c>
      <c r="R3518" t="str">
        <f>"9780826512543"</f>
        <v>9780826512543</v>
      </c>
      <c r="S3518" t="str">
        <f>"9780585105604"</f>
        <v>9780585105604</v>
      </c>
      <c r="T3518">
        <v>42922755</v>
      </c>
    </row>
    <row r="3519" spans="1:20" x14ac:dyDescent="0.25">
      <c r="A3519">
        <v>11087</v>
      </c>
      <c r="B3519" t="s">
        <v>16866</v>
      </c>
      <c r="C3519" t="s">
        <v>16867</v>
      </c>
      <c r="D3519" t="s">
        <v>10310</v>
      </c>
      <c r="E3519" t="s">
        <v>10310</v>
      </c>
      <c r="F3519">
        <v>1969</v>
      </c>
      <c r="G3519" t="s">
        <v>7660</v>
      </c>
      <c r="H3519" t="s">
        <v>16868</v>
      </c>
      <c r="J3519" t="s">
        <v>26</v>
      </c>
      <c r="K3519" t="s">
        <v>27</v>
      </c>
      <c r="L3519" t="b">
        <v>1</v>
      </c>
      <c r="M3519" t="s">
        <v>16869</v>
      </c>
      <c r="N3519" t="str">
        <f>"975"</f>
        <v>975</v>
      </c>
      <c r="P3519" t="b">
        <v>0</v>
      </c>
      <c r="R3519" t="str">
        <f>"9780826511287"</f>
        <v>9780826511287</v>
      </c>
      <c r="S3519" t="str">
        <f>"9780585101194"</f>
        <v>9780585101194</v>
      </c>
      <c r="T3519">
        <v>42922551</v>
      </c>
    </row>
    <row r="3520" spans="1:20" x14ac:dyDescent="0.25">
      <c r="A3520">
        <v>11086</v>
      </c>
      <c r="B3520" t="s">
        <v>16870</v>
      </c>
      <c r="C3520" t="s">
        <v>16871</v>
      </c>
      <c r="D3520" t="s">
        <v>10310</v>
      </c>
      <c r="E3520" t="s">
        <v>10310</v>
      </c>
      <c r="F3520">
        <v>1997</v>
      </c>
      <c r="G3520" t="s">
        <v>16446</v>
      </c>
      <c r="H3520" t="s">
        <v>16872</v>
      </c>
      <c r="I3520" t="s">
        <v>16873</v>
      </c>
      <c r="J3520" t="s">
        <v>26</v>
      </c>
      <c r="K3520" t="s">
        <v>27</v>
      </c>
      <c r="L3520" t="b">
        <v>1</v>
      </c>
      <c r="M3520" t="s">
        <v>16874</v>
      </c>
      <c r="N3520" t="str">
        <f>"782.42/1642/092;B"</f>
        <v>782.42/1642/092;B</v>
      </c>
      <c r="P3520" t="b">
        <v>0</v>
      </c>
      <c r="R3520" t="str">
        <f>"9780826512697"</f>
        <v>9780826512697</v>
      </c>
      <c r="S3520" t="str">
        <f>"9780585105369"</f>
        <v>9780585105369</v>
      </c>
      <c r="T3520">
        <v>44958907</v>
      </c>
    </row>
    <row r="3521" spans="1:20" x14ac:dyDescent="0.25">
      <c r="A3521">
        <v>11084</v>
      </c>
      <c r="B3521" t="s">
        <v>16875</v>
      </c>
      <c r="D3521" t="s">
        <v>10310</v>
      </c>
      <c r="E3521" t="s">
        <v>10310</v>
      </c>
      <c r="F3521">
        <v>1997</v>
      </c>
      <c r="G3521" t="s">
        <v>5014</v>
      </c>
      <c r="H3521" t="s">
        <v>16876</v>
      </c>
      <c r="I3521" t="s">
        <v>16877</v>
      </c>
      <c r="J3521" t="s">
        <v>26</v>
      </c>
      <c r="K3521" t="s">
        <v>27</v>
      </c>
      <c r="L3521" t="b">
        <v>1</v>
      </c>
      <c r="M3521" t="s">
        <v>16878</v>
      </c>
      <c r="N3521" t="str">
        <f>"511/.4"</f>
        <v>511/.4</v>
      </c>
      <c r="P3521" t="b">
        <v>0</v>
      </c>
      <c r="R3521" t="str">
        <f>"9780826512949"</f>
        <v>9780826512949</v>
      </c>
      <c r="S3521" t="str">
        <f>"9780585110189"</f>
        <v>9780585110189</v>
      </c>
      <c r="T3521">
        <v>44958869</v>
      </c>
    </row>
    <row r="3522" spans="1:20" x14ac:dyDescent="0.25">
      <c r="A3522">
        <v>11083</v>
      </c>
      <c r="B3522" t="s">
        <v>16879</v>
      </c>
      <c r="D3522" t="s">
        <v>10310</v>
      </c>
      <c r="E3522" t="s">
        <v>10310</v>
      </c>
      <c r="F3522">
        <v>1971</v>
      </c>
      <c r="G3522" t="s">
        <v>7509</v>
      </c>
      <c r="H3522" t="s">
        <v>16880</v>
      </c>
      <c r="J3522" t="s">
        <v>26</v>
      </c>
      <c r="K3522" t="s">
        <v>27</v>
      </c>
      <c r="L3522" t="b">
        <v>1</v>
      </c>
      <c r="M3522" t="s">
        <v>16881</v>
      </c>
      <c r="P3522" t="b">
        <v>0</v>
      </c>
      <c r="R3522" t="str">
        <f>"9780826511638"</f>
        <v>9780826511638</v>
      </c>
      <c r="S3522" t="str">
        <f>"9780585110141"</f>
        <v>9780585110141</v>
      </c>
      <c r="T3522">
        <v>44958833</v>
      </c>
    </row>
    <row r="3523" spans="1:20" x14ac:dyDescent="0.25">
      <c r="A3523">
        <v>11082</v>
      </c>
      <c r="B3523" t="s">
        <v>16882</v>
      </c>
      <c r="D3523" t="s">
        <v>10310</v>
      </c>
      <c r="E3523" t="s">
        <v>10310</v>
      </c>
      <c r="F3523">
        <v>1997</v>
      </c>
      <c r="G3523" t="s">
        <v>4558</v>
      </c>
      <c r="H3523" t="s">
        <v>16883</v>
      </c>
      <c r="I3523" t="s">
        <v>16884</v>
      </c>
      <c r="J3523" t="s">
        <v>26</v>
      </c>
      <c r="K3523" t="s">
        <v>27</v>
      </c>
      <c r="L3523" t="b">
        <v>1</v>
      </c>
      <c r="M3523" t="s">
        <v>16885</v>
      </c>
      <c r="N3523" t="str">
        <f>"327/.09/04"</f>
        <v>327/.09/04</v>
      </c>
      <c r="P3523" t="b">
        <v>0</v>
      </c>
      <c r="R3523" t="str">
        <f>"9780826512840"</f>
        <v>9780826512840</v>
      </c>
      <c r="S3523" t="str">
        <f>"9780585110110"</f>
        <v>9780585110110</v>
      </c>
      <c r="T3523">
        <v>43476187</v>
      </c>
    </row>
    <row r="3524" spans="1:20" x14ac:dyDescent="0.25">
      <c r="A3524">
        <v>11081</v>
      </c>
      <c r="B3524" t="s">
        <v>16886</v>
      </c>
      <c r="D3524" t="s">
        <v>10310</v>
      </c>
      <c r="E3524" t="s">
        <v>10310</v>
      </c>
      <c r="F3524">
        <v>1971</v>
      </c>
      <c r="G3524" t="s">
        <v>16887</v>
      </c>
      <c r="H3524" t="s">
        <v>16888</v>
      </c>
      <c r="I3524" t="s">
        <v>16889</v>
      </c>
      <c r="J3524" t="s">
        <v>26</v>
      </c>
      <c r="K3524" t="s">
        <v>27</v>
      </c>
      <c r="L3524" t="b">
        <v>1</v>
      </c>
      <c r="M3524" t="s">
        <v>16890</v>
      </c>
      <c r="N3524" t="str">
        <f>"891.8"</f>
        <v>891.8</v>
      </c>
      <c r="P3524" t="b">
        <v>0</v>
      </c>
      <c r="R3524" t="str">
        <f>"9780826511591"</f>
        <v>9780826511591</v>
      </c>
      <c r="S3524" t="str">
        <f>"9780585110066"</f>
        <v>9780585110066</v>
      </c>
      <c r="T3524">
        <v>44958791</v>
      </c>
    </row>
    <row r="3525" spans="1:20" x14ac:dyDescent="0.25">
      <c r="A3525">
        <v>11080</v>
      </c>
      <c r="B3525" t="s">
        <v>16891</v>
      </c>
      <c r="C3525" t="s">
        <v>16892</v>
      </c>
      <c r="D3525" t="s">
        <v>10310</v>
      </c>
      <c r="E3525" t="s">
        <v>10310</v>
      </c>
      <c r="F3525">
        <v>1990</v>
      </c>
      <c r="G3525" t="s">
        <v>8679</v>
      </c>
      <c r="H3525" t="s">
        <v>16893</v>
      </c>
      <c r="I3525" t="s">
        <v>16894</v>
      </c>
      <c r="J3525" t="s">
        <v>26</v>
      </c>
      <c r="K3525" t="s">
        <v>27</v>
      </c>
      <c r="L3525" t="b">
        <v>1</v>
      </c>
      <c r="M3525" t="s">
        <v>16895</v>
      </c>
      <c r="N3525" t="str">
        <f>"616.2/4"</f>
        <v>616.2/4</v>
      </c>
      <c r="P3525" t="b">
        <v>0</v>
      </c>
      <c r="R3525" t="str">
        <f>"9780826512383"</f>
        <v>9780826512383</v>
      </c>
      <c r="S3525" t="str">
        <f>"9780585105352"</f>
        <v>9780585105352</v>
      </c>
      <c r="T3525">
        <v>42922742</v>
      </c>
    </row>
    <row r="3526" spans="1:20" x14ac:dyDescent="0.25">
      <c r="A3526">
        <v>11078</v>
      </c>
      <c r="B3526" t="s">
        <v>16786</v>
      </c>
      <c r="D3526" t="s">
        <v>10310</v>
      </c>
      <c r="E3526" t="s">
        <v>10310</v>
      </c>
      <c r="F3526">
        <v>1974</v>
      </c>
      <c r="G3526" t="s">
        <v>5465</v>
      </c>
      <c r="H3526" t="s">
        <v>16896</v>
      </c>
      <c r="I3526" t="s">
        <v>16788</v>
      </c>
      <c r="J3526" t="s">
        <v>26</v>
      </c>
      <c r="K3526" t="s">
        <v>27</v>
      </c>
      <c r="L3526" t="b">
        <v>1</v>
      </c>
      <c r="M3526" t="s">
        <v>16789</v>
      </c>
      <c r="N3526" t="str">
        <f>"891.7/09/003"</f>
        <v>891.7/09/003</v>
      </c>
      <c r="P3526" t="b">
        <v>0</v>
      </c>
      <c r="R3526" t="str">
        <f>"9780826511904"</f>
        <v>9780826511904</v>
      </c>
      <c r="S3526" t="str">
        <f>"9780585159614"</f>
        <v>9780585159614</v>
      </c>
      <c r="T3526">
        <v>44958703</v>
      </c>
    </row>
    <row r="3527" spans="1:20" x14ac:dyDescent="0.25">
      <c r="A3527">
        <v>10383</v>
      </c>
      <c r="B3527" t="s">
        <v>16897</v>
      </c>
      <c r="C3527" t="s">
        <v>16898</v>
      </c>
      <c r="D3527" t="s">
        <v>123</v>
      </c>
      <c r="E3527" t="s">
        <v>6687</v>
      </c>
      <c r="F3527">
        <v>1999</v>
      </c>
      <c r="G3527" t="s">
        <v>16899</v>
      </c>
      <c r="H3527" t="s">
        <v>16900</v>
      </c>
      <c r="I3527" t="s">
        <v>16901</v>
      </c>
      <c r="J3527" t="s">
        <v>26</v>
      </c>
      <c r="K3527" t="s">
        <v>48</v>
      </c>
      <c r="L3527" t="b">
        <v>1</v>
      </c>
      <c r="M3527" t="s">
        <v>16902</v>
      </c>
      <c r="N3527" t="str">
        <f>"613"</f>
        <v>613</v>
      </c>
      <c r="P3527" t="b">
        <v>0</v>
      </c>
      <c r="R3527" t="str">
        <f>"9781558746800"</f>
        <v>9781558746800</v>
      </c>
      <c r="S3527" t="str">
        <f>"9780585101576"</f>
        <v>9780585101576</v>
      </c>
      <c r="T3527">
        <v>42922578</v>
      </c>
    </row>
    <row r="3528" spans="1:20" x14ac:dyDescent="0.25">
      <c r="A3528">
        <v>10375</v>
      </c>
      <c r="B3528" t="s">
        <v>16903</v>
      </c>
      <c r="C3528" t="s">
        <v>16904</v>
      </c>
      <c r="D3528" t="s">
        <v>6674</v>
      </c>
      <c r="E3528" t="s">
        <v>6674</v>
      </c>
      <c r="F3528">
        <v>1989</v>
      </c>
      <c r="G3528" t="s">
        <v>3995</v>
      </c>
      <c r="H3528" t="s">
        <v>16905</v>
      </c>
      <c r="I3528" t="s">
        <v>16906</v>
      </c>
      <c r="J3528" t="s">
        <v>26</v>
      </c>
      <c r="K3528" t="s">
        <v>27</v>
      </c>
      <c r="L3528" t="b">
        <v>1</v>
      </c>
      <c r="M3528" t="s">
        <v>16907</v>
      </c>
      <c r="N3528" t="str">
        <f>"081"</f>
        <v>081</v>
      </c>
      <c r="P3528" t="b">
        <v>1</v>
      </c>
      <c r="R3528" t="str">
        <f>"9781558740204"</f>
        <v>9781558740204</v>
      </c>
      <c r="S3528" t="str">
        <f>"9780585101019"</f>
        <v>9780585101019</v>
      </c>
      <c r="T3528">
        <v>42922539</v>
      </c>
    </row>
    <row r="3529" spans="1:20" x14ac:dyDescent="0.25">
      <c r="A3529">
        <v>10373</v>
      </c>
      <c r="B3529" t="s">
        <v>16908</v>
      </c>
      <c r="C3529" t="s">
        <v>16909</v>
      </c>
      <c r="D3529" t="s">
        <v>123</v>
      </c>
      <c r="E3529" t="s">
        <v>6687</v>
      </c>
      <c r="F3529">
        <v>1990</v>
      </c>
      <c r="G3529" t="s">
        <v>6694</v>
      </c>
      <c r="H3529" t="s">
        <v>16910</v>
      </c>
      <c r="I3529" t="s">
        <v>16911</v>
      </c>
      <c r="J3529" t="s">
        <v>26</v>
      </c>
      <c r="K3529" t="s">
        <v>27</v>
      </c>
      <c r="L3529" t="b">
        <v>1</v>
      </c>
      <c r="M3529" t="s">
        <v>16668</v>
      </c>
      <c r="N3529" t="str">
        <f>"150"</f>
        <v>150</v>
      </c>
      <c r="P3529" t="b">
        <v>0</v>
      </c>
      <c r="R3529" t="str">
        <f>"9781558740426"</f>
        <v>9781558740426</v>
      </c>
      <c r="S3529" t="str">
        <f>"9780585102573"</f>
        <v>9780585102573</v>
      </c>
      <c r="T3529">
        <v>42922601</v>
      </c>
    </row>
    <row r="3530" spans="1:20" x14ac:dyDescent="0.25">
      <c r="A3530">
        <v>10368</v>
      </c>
      <c r="B3530" t="s">
        <v>16912</v>
      </c>
      <c r="C3530" t="s">
        <v>16913</v>
      </c>
      <c r="D3530" t="s">
        <v>6674</v>
      </c>
      <c r="E3530" t="s">
        <v>6674</v>
      </c>
      <c r="F3530">
        <v>1989</v>
      </c>
      <c r="G3530" t="s">
        <v>16914</v>
      </c>
      <c r="H3530" t="s">
        <v>16915</v>
      </c>
      <c r="I3530" t="s">
        <v>16916</v>
      </c>
      <c r="J3530" t="s">
        <v>26</v>
      </c>
      <c r="K3530" t="s">
        <v>27</v>
      </c>
      <c r="L3530" t="b">
        <v>1</v>
      </c>
      <c r="M3530" t="s">
        <v>16917</v>
      </c>
      <c r="N3530" t="str">
        <f>"155.6/32"</f>
        <v>155.6/32</v>
      </c>
      <c r="P3530" t="b">
        <v>0</v>
      </c>
      <c r="R3530" t="str">
        <f>"9781558740068"</f>
        <v>9781558740068</v>
      </c>
      <c r="S3530" t="str">
        <f>"9780585101545"</f>
        <v>9780585101545</v>
      </c>
      <c r="T3530">
        <v>42922576</v>
      </c>
    </row>
    <row r="3531" spans="1:20" x14ac:dyDescent="0.25">
      <c r="A3531">
        <v>10354</v>
      </c>
      <c r="B3531" t="s">
        <v>16918</v>
      </c>
      <c r="C3531" t="s">
        <v>16919</v>
      </c>
      <c r="D3531" t="s">
        <v>123</v>
      </c>
      <c r="E3531" t="s">
        <v>6687</v>
      </c>
      <c r="F3531">
        <v>1995</v>
      </c>
      <c r="G3531" t="s">
        <v>16920</v>
      </c>
      <c r="H3531" t="s">
        <v>16921</v>
      </c>
      <c r="I3531" t="s">
        <v>16922</v>
      </c>
      <c r="J3531" t="s">
        <v>26</v>
      </c>
      <c r="K3531" t="s">
        <v>48</v>
      </c>
      <c r="L3531" t="b">
        <v>1</v>
      </c>
      <c r="M3531" t="s">
        <v>16923</v>
      </c>
      <c r="N3531" t="str">
        <f>"362.7/6/092;B"</f>
        <v>362.7/6/092;B</v>
      </c>
      <c r="P3531" t="b">
        <v>0</v>
      </c>
      <c r="R3531" t="str">
        <f>"9781558743663"</f>
        <v>9781558743663</v>
      </c>
      <c r="S3531" t="str">
        <f>"9780585101521"</f>
        <v>9780585101521</v>
      </c>
      <c r="T3531">
        <v>43802996</v>
      </c>
    </row>
    <row r="3532" spans="1:20" x14ac:dyDescent="0.25">
      <c r="A3532">
        <v>10352</v>
      </c>
      <c r="B3532" t="s">
        <v>16924</v>
      </c>
      <c r="C3532" t="s">
        <v>16925</v>
      </c>
      <c r="D3532" t="s">
        <v>123</v>
      </c>
      <c r="E3532" t="s">
        <v>6687</v>
      </c>
      <c r="F3532">
        <v>1987</v>
      </c>
      <c r="G3532" t="s">
        <v>2049</v>
      </c>
      <c r="H3532" t="s">
        <v>16926</v>
      </c>
      <c r="I3532" t="s">
        <v>16911</v>
      </c>
      <c r="J3532" t="s">
        <v>26</v>
      </c>
      <c r="K3532" t="s">
        <v>48</v>
      </c>
      <c r="L3532" t="b">
        <v>1</v>
      </c>
      <c r="M3532" t="s">
        <v>16668</v>
      </c>
      <c r="N3532" t="str">
        <f>"616.89"</f>
        <v>616.89</v>
      </c>
      <c r="P3532" t="b">
        <v>0</v>
      </c>
      <c r="R3532" t="str">
        <f>"9780932194404"</f>
        <v>9780932194404</v>
      </c>
      <c r="S3532" t="str">
        <f>"9780585110080"</f>
        <v>9780585110080</v>
      </c>
      <c r="T3532">
        <v>43476186</v>
      </c>
    </row>
    <row r="3533" spans="1:20" x14ac:dyDescent="0.25">
      <c r="A3533">
        <v>10345</v>
      </c>
      <c r="B3533" t="s">
        <v>16927</v>
      </c>
      <c r="C3533" t="s">
        <v>2603</v>
      </c>
      <c r="D3533" t="s">
        <v>123</v>
      </c>
      <c r="E3533" t="s">
        <v>6687</v>
      </c>
      <c r="F3533">
        <v>1990</v>
      </c>
      <c r="G3533" t="s">
        <v>16920</v>
      </c>
      <c r="H3533" t="s">
        <v>16928</v>
      </c>
      <c r="I3533" t="s">
        <v>16929</v>
      </c>
      <c r="J3533" t="s">
        <v>26</v>
      </c>
      <c r="K3533" t="s">
        <v>48</v>
      </c>
      <c r="L3533" t="b">
        <v>1</v>
      </c>
      <c r="M3533" t="s">
        <v>16930</v>
      </c>
      <c r="N3533" t="str">
        <f>"362"</f>
        <v>362</v>
      </c>
      <c r="P3533" t="b">
        <v>0</v>
      </c>
      <c r="R3533" t="str">
        <f>"9781558741126"</f>
        <v>9781558741126</v>
      </c>
      <c r="S3533" t="str">
        <f>"9780585101217"</f>
        <v>9780585101217</v>
      </c>
      <c r="T3533">
        <v>42922553</v>
      </c>
    </row>
    <row r="3534" spans="1:20" x14ac:dyDescent="0.25">
      <c r="A3534">
        <v>9675</v>
      </c>
      <c r="B3534" t="s">
        <v>16931</v>
      </c>
      <c r="C3534" t="s">
        <v>16932</v>
      </c>
      <c r="D3534" t="s">
        <v>11160</v>
      </c>
      <c r="E3534" t="s">
        <v>11160</v>
      </c>
      <c r="F3534">
        <v>1996</v>
      </c>
      <c r="G3534" t="s">
        <v>16933</v>
      </c>
      <c r="H3534" t="s">
        <v>16934</v>
      </c>
      <c r="I3534" t="s">
        <v>16935</v>
      </c>
      <c r="J3534" t="s">
        <v>26</v>
      </c>
      <c r="K3534" t="s">
        <v>27</v>
      </c>
      <c r="L3534" t="b">
        <v>1</v>
      </c>
      <c r="M3534" t="s">
        <v>16936</v>
      </c>
      <c r="N3534" t="str">
        <f>"332.1/1/09411"</f>
        <v>332.1/1/09411</v>
      </c>
      <c r="P3534" t="b">
        <v>0</v>
      </c>
      <c r="R3534" t="str">
        <f>"9780748607570"</f>
        <v>9780748607570</v>
      </c>
      <c r="S3534" t="str">
        <f>"9781474400558"</f>
        <v>9781474400558</v>
      </c>
      <c r="T3534">
        <v>49570341</v>
      </c>
    </row>
    <row r="3535" spans="1:20" x14ac:dyDescent="0.25">
      <c r="A3535">
        <v>9621</v>
      </c>
      <c r="B3535" t="s">
        <v>16937</v>
      </c>
      <c r="D3535" t="s">
        <v>11160</v>
      </c>
      <c r="E3535" t="s">
        <v>11160</v>
      </c>
      <c r="F3535">
        <v>1997</v>
      </c>
      <c r="G3535" t="s">
        <v>4108</v>
      </c>
      <c r="H3535" t="s">
        <v>16938</v>
      </c>
      <c r="I3535" t="s">
        <v>16939</v>
      </c>
      <c r="J3535" t="s">
        <v>26</v>
      </c>
      <c r="K3535" t="s">
        <v>27</v>
      </c>
      <c r="L3535" t="b">
        <v>1</v>
      </c>
      <c r="M3535" t="s">
        <v>16940</v>
      </c>
      <c r="N3535" t="str">
        <f>"930.1/01/51"</f>
        <v>930.1/01/51</v>
      </c>
      <c r="P3535" t="b">
        <v>0</v>
      </c>
      <c r="R3535" t="str">
        <f>"9780877455981"</f>
        <v>9780877455981</v>
      </c>
      <c r="S3535" t="str">
        <f>"9780585130866"</f>
        <v>9780585130866</v>
      </c>
      <c r="T3535">
        <v>44964285</v>
      </c>
    </row>
    <row r="3536" spans="1:20" x14ac:dyDescent="0.25">
      <c r="A3536">
        <v>4917</v>
      </c>
      <c r="B3536" t="s">
        <v>11615</v>
      </c>
      <c r="C3536" t="s">
        <v>16941</v>
      </c>
      <c r="D3536" t="s">
        <v>1151</v>
      </c>
      <c r="E3536" t="s">
        <v>234</v>
      </c>
      <c r="F3536">
        <v>1998</v>
      </c>
      <c r="G3536" t="s">
        <v>11617</v>
      </c>
      <c r="H3536" t="s">
        <v>16942</v>
      </c>
      <c r="I3536" t="s">
        <v>16943</v>
      </c>
      <c r="J3536" t="s">
        <v>26</v>
      </c>
      <c r="K3536" t="s">
        <v>27</v>
      </c>
      <c r="L3536" t="b">
        <v>1</v>
      </c>
      <c r="M3536" t="s">
        <v>16944</v>
      </c>
      <c r="N3536" t="str">
        <f>"368.4/26/00973"</f>
        <v>368.4/26/00973</v>
      </c>
      <c r="P3536" t="b">
        <v>0</v>
      </c>
      <c r="Q3536" t="b">
        <v>0</v>
      </c>
      <c r="R3536" t="str">
        <f>"9780815773993"</f>
        <v>9780815773993</v>
      </c>
      <c r="S3536" t="str">
        <f>"9780585041650"</f>
        <v>9780585041650</v>
      </c>
      <c r="T3536">
        <v>42330743</v>
      </c>
    </row>
    <row r="3537" spans="1:20" x14ac:dyDescent="0.25">
      <c r="A3537">
        <v>4867</v>
      </c>
      <c r="B3537" t="s">
        <v>16945</v>
      </c>
      <c r="D3537" t="s">
        <v>10310</v>
      </c>
      <c r="E3537" t="s">
        <v>10310</v>
      </c>
      <c r="F3537">
        <v>1998</v>
      </c>
      <c r="G3537" t="s">
        <v>4483</v>
      </c>
      <c r="H3537" t="s">
        <v>16946</v>
      </c>
      <c r="J3537" t="s">
        <v>26</v>
      </c>
      <c r="K3537" t="s">
        <v>27</v>
      </c>
      <c r="L3537" t="b">
        <v>1</v>
      </c>
      <c r="M3537" t="s">
        <v>16947</v>
      </c>
      <c r="N3537" t="str">
        <f>"191"</f>
        <v>191</v>
      </c>
      <c r="O3537" t="s">
        <v>16075</v>
      </c>
      <c r="P3537" t="b">
        <v>0</v>
      </c>
      <c r="R3537" t="str">
        <f>"9780826512963"</f>
        <v>9780826512963</v>
      </c>
      <c r="S3537" t="str">
        <f>"9780585034096"</f>
        <v>9780585034096</v>
      </c>
      <c r="T3537">
        <v>42854531</v>
      </c>
    </row>
    <row r="3538" spans="1:20" x14ac:dyDescent="0.25">
      <c r="A3538">
        <v>4866</v>
      </c>
      <c r="B3538" t="s">
        <v>16948</v>
      </c>
      <c r="C3538" t="s">
        <v>16949</v>
      </c>
      <c r="D3538" t="s">
        <v>10310</v>
      </c>
      <c r="E3538" t="s">
        <v>10310</v>
      </c>
      <c r="F3538">
        <v>1997</v>
      </c>
      <c r="G3538" t="s">
        <v>501</v>
      </c>
      <c r="H3538" t="s">
        <v>16950</v>
      </c>
      <c r="I3538" t="s">
        <v>16951</v>
      </c>
      <c r="J3538" t="s">
        <v>26</v>
      </c>
      <c r="K3538" t="s">
        <v>27</v>
      </c>
      <c r="L3538" t="b">
        <v>1</v>
      </c>
      <c r="M3538" t="s">
        <v>16952</v>
      </c>
      <c r="N3538" t="str">
        <f>"861/.509145"</f>
        <v>861/.509145</v>
      </c>
      <c r="P3538" t="b">
        <v>0</v>
      </c>
      <c r="R3538" t="str">
        <f>"9780826512895"</f>
        <v>9780826512895</v>
      </c>
      <c r="S3538" t="str">
        <f>"9780585033136"</f>
        <v>9780585033136</v>
      </c>
      <c r="T3538">
        <v>42330034</v>
      </c>
    </row>
    <row r="3539" spans="1:20" x14ac:dyDescent="0.25">
      <c r="A3539">
        <v>4865</v>
      </c>
      <c r="B3539" t="s">
        <v>16953</v>
      </c>
      <c r="C3539" t="s">
        <v>16954</v>
      </c>
      <c r="D3539" t="s">
        <v>10310</v>
      </c>
      <c r="E3539" t="s">
        <v>10310</v>
      </c>
      <c r="F3539">
        <v>1996</v>
      </c>
      <c r="G3539" t="s">
        <v>4558</v>
      </c>
      <c r="H3539" t="s">
        <v>16955</v>
      </c>
      <c r="J3539" t="s">
        <v>26</v>
      </c>
      <c r="K3539" t="s">
        <v>27</v>
      </c>
      <c r="L3539" t="b">
        <v>1</v>
      </c>
      <c r="M3539" t="s">
        <v>16885</v>
      </c>
      <c r="N3539" t="str">
        <f>"327.73/009/047"</f>
        <v>327.73/009/047</v>
      </c>
      <c r="P3539" t="b">
        <v>0</v>
      </c>
      <c r="R3539" t="str">
        <f>"9780826512734"</f>
        <v>9780826512734</v>
      </c>
      <c r="S3539" t="str">
        <f>"9780585033129"</f>
        <v>9780585033129</v>
      </c>
      <c r="T3539">
        <v>42330031</v>
      </c>
    </row>
    <row r="3540" spans="1:20" x14ac:dyDescent="0.25">
      <c r="A3540">
        <v>4863</v>
      </c>
      <c r="B3540" t="s">
        <v>16956</v>
      </c>
      <c r="D3540" t="s">
        <v>10310</v>
      </c>
      <c r="E3540" t="s">
        <v>10310</v>
      </c>
      <c r="F3540">
        <v>1969</v>
      </c>
      <c r="G3540" t="s">
        <v>5465</v>
      </c>
      <c r="H3540" t="s">
        <v>16957</v>
      </c>
      <c r="I3540" t="s">
        <v>16958</v>
      </c>
      <c r="J3540" t="s">
        <v>26</v>
      </c>
      <c r="K3540" t="s">
        <v>27</v>
      </c>
      <c r="L3540" t="b">
        <v>1</v>
      </c>
      <c r="M3540" t="s">
        <v>16959</v>
      </c>
      <c r="N3540" t="str">
        <f>"891.7/6/3"</f>
        <v>891.7/6/3</v>
      </c>
      <c r="P3540" t="b">
        <v>0</v>
      </c>
      <c r="R3540" t="str">
        <f>"9780826511263"</f>
        <v>9780826511263</v>
      </c>
      <c r="S3540" t="str">
        <f>"9780585031958"</f>
        <v>9780585031958</v>
      </c>
      <c r="T3540">
        <v>42329877</v>
      </c>
    </row>
    <row r="3541" spans="1:20" x14ac:dyDescent="0.25">
      <c r="A3541">
        <v>4861</v>
      </c>
      <c r="B3541" t="s">
        <v>16960</v>
      </c>
      <c r="C3541" t="s">
        <v>16961</v>
      </c>
      <c r="D3541" t="s">
        <v>10310</v>
      </c>
      <c r="E3541" t="s">
        <v>10310</v>
      </c>
      <c r="F3541">
        <v>1998</v>
      </c>
      <c r="G3541" t="s">
        <v>16962</v>
      </c>
      <c r="H3541" t="s">
        <v>16963</v>
      </c>
      <c r="I3541" t="s">
        <v>16964</v>
      </c>
      <c r="J3541" t="s">
        <v>26</v>
      </c>
      <c r="K3541" t="s">
        <v>27</v>
      </c>
      <c r="L3541" t="b">
        <v>1</v>
      </c>
      <c r="M3541" t="s">
        <v>16965</v>
      </c>
      <c r="N3541" t="str">
        <f>"972.91/05"</f>
        <v>972.91/05</v>
      </c>
      <c r="P3541" t="b">
        <v>0</v>
      </c>
      <c r="R3541" t="str">
        <f>"9780826512994"</f>
        <v>9780826512994</v>
      </c>
      <c r="S3541" t="str">
        <f>"9780585033112"</f>
        <v>9780585033112</v>
      </c>
      <c r="T3541">
        <v>42330029</v>
      </c>
    </row>
    <row r="3542" spans="1:20" x14ac:dyDescent="0.25">
      <c r="A3542">
        <v>4860</v>
      </c>
      <c r="B3542" t="s">
        <v>16966</v>
      </c>
      <c r="D3542" t="s">
        <v>10310</v>
      </c>
      <c r="E3542" t="s">
        <v>10310</v>
      </c>
      <c r="F3542">
        <v>1995</v>
      </c>
      <c r="G3542" t="s">
        <v>681</v>
      </c>
      <c r="H3542" t="s">
        <v>16967</v>
      </c>
      <c r="J3542" t="s">
        <v>26</v>
      </c>
      <c r="K3542" t="s">
        <v>27</v>
      </c>
      <c r="L3542" t="b">
        <v>1</v>
      </c>
      <c r="M3542" t="s">
        <v>16968</v>
      </c>
      <c r="N3542" t="str">
        <f>"320.9763/09/049"</f>
        <v>320.9763/09/049</v>
      </c>
      <c r="P3542" t="b">
        <v>0</v>
      </c>
      <c r="R3542" t="str">
        <f>"9780826512666"</f>
        <v>9780826512666</v>
      </c>
      <c r="S3542" t="str">
        <f>"9780585033105"</f>
        <v>9780585033105</v>
      </c>
      <c r="T3542">
        <v>42330028</v>
      </c>
    </row>
    <row r="3543" spans="1:20" x14ac:dyDescent="0.25">
      <c r="A3543">
        <v>4857</v>
      </c>
      <c r="B3543" t="s">
        <v>16969</v>
      </c>
      <c r="D3543" t="s">
        <v>10310</v>
      </c>
      <c r="E3543" t="s">
        <v>10310</v>
      </c>
      <c r="F3543">
        <v>1989</v>
      </c>
      <c r="G3543" t="s">
        <v>5087</v>
      </c>
      <c r="H3543" t="s">
        <v>16970</v>
      </c>
      <c r="I3543" t="s">
        <v>16971</v>
      </c>
      <c r="J3543" t="s">
        <v>26</v>
      </c>
      <c r="K3543" t="s">
        <v>27</v>
      </c>
      <c r="L3543" t="b">
        <v>1</v>
      </c>
      <c r="M3543" t="s">
        <v>16972</v>
      </c>
      <c r="N3543" t="str">
        <f>"840.9/18"</f>
        <v>840.9/18</v>
      </c>
      <c r="P3543" t="b">
        <v>0</v>
      </c>
      <c r="R3543" t="str">
        <f>"9780826512338"</f>
        <v>9780826512338</v>
      </c>
      <c r="S3543" t="str">
        <f>"9780585034065"</f>
        <v>9780585034065</v>
      </c>
      <c r="T3543">
        <v>42330174</v>
      </c>
    </row>
    <row r="3544" spans="1:20" x14ac:dyDescent="0.25">
      <c r="A3544">
        <v>4856</v>
      </c>
      <c r="B3544" t="s">
        <v>16973</v>
      </c>
      <c r="C3544" t="s">
        <v>16974</v>
      </c>
      <c r="D3544" t="s">
        <v>10310</v>
      </c>
      <c r="E3544" t="s">
        <v>10310</v>
      </c>
      <c r="F3544">
        <v>1997</v>
      </c>
      <c r="G3544" t="s">
        <v>4488</v>
      </c>
      <c r="H3544" t="s">
        <v>16975</v>
      </c>
      <c r="I3544" t="s">
        <v>16976</v>
      </c>
      <c r="J3544" t="s">
        <v>26</v>
      </c>
      <c r="K3544" t="s">
        <v>27</v>
      </c>
      <c r="L3544" t="b">
        <v>1</v>
      </c>
      <c r="M3544" t="s">
        <v>16977</v>
      </c>
      <c r="N3544" t="str">
        <f>"320/.092"</f>
        <v>320/.092</v>
      </c>
      <c r="O3544" t="s">
        <v>16075</v>
      </c>
      <c r="P3544" t="b">
        <v>0</v>
      </c>
      <c r="R3544" t="str">
        <f>"9780826512864"</f>
        <v>9780826512864</v>
      </c>
      <c r="S3544" t="str">
        <f>"9780585098760"</f>
        <v>9780585098760</v>
      </c>
      <c r="T3544">
        <v>42856542</v>
      </c>
    </row>
    <row r="3545" spans="1:20" x14ac:dyDescent="0.25">
      <c r="A3545">
        <v>4855</v>
      </c>
      <c r="B3545" t="s">
        <v>16978</v>
      </c>
      <c r="D3545" t="s">
        <v>10310</v>
      </c>
      <c r="E3545" t="s">
        <v>10310</v>
      </c>
      <c r="F3545">
        <v>1996</v>
      </c>
      <c r="G3545" t="s">
        <v>5879</v>
      </c>
      <c r="H3545" t="s">
        <v>16979</v>
      </c>
      <c r="I3545" t="s">
        <v>16980</v>
      </c>
      <c r="J3545" t="s">
        <v>26</v>
      </c>
      <c r="K3545" t="s">
        <v>27</v>
      </c>
      <c r="L3545" t="b">
        <v>1</v>
      </c>
      <c r="M3545" t="s">
        <v>16981</v>
      </c>
      <c r="N3545" t="str">
        <f>"327.1/72"</f>
        <v>327.1/72</v>
      </c>
      <c r="P3545" t="b">
        <v>0</v>
      </c>
      <c r="R3545" t="str">
        <f>"9780826512727"</f>
        <v>9780826512727</v>
      </c>
      <c r="S3545" t="str">
        <f>"9780585033099"</f>
        <v>9780585033099</v>
      </c>
      <c r="T3545">
        <v>42330026</v>
      </c>
    </row>
    <row r="3546" spans="1:20" x14ac:dyDescent="0.25">
      <c r="A3546">
        <v>4853</v>
      </c>
      <c r="B3546" t="s">
        <v>16982</v>
      </c>
      <c r="C3546" t="s">
        <v>16983</v>
      </c>
      <c r="D3546" t="s">
        <v>10310</v>
      </c>
      <c r="E3546" t="s">
        <v>10310</v>
      </c>
      <c r="F3546">
        <v>1980</v>
      </c>
      <c r="G3546" t="s">
        <v>16984</v>
      </c>
      <c r="H3546" t="s">
        <v>16985</v>
      </c>
      <c r="I3546" t="s">
        <v>16986</v>
      </c>
      <c r="J3546" t="s">
        <v>26</v>
      </c>
      <c r="K3546" t="s">
        <v>27</v>
      </c>
      <c r="L3546" t="b">
        <v>1</v>
      </c>
      <c r="M3546" t="s">
        <v>16987</v>
      </c>
      <c r="N3546" t="str">
        <f>"712/.092/4;B"</f>
        <v>712/.092/4;B</v>
      </c>
      <c r="P3546" t="b">
        <v>0</v>
      </c>
      <c r="R3546" t="str">
        <f>"9780826512093"</f>
        <v>9780826512093</v>
      </c>
      <c r="S3546" t="str">
        <f>"9780585041582"</f>
        <v>9780585041582</v>
      </c>
      <c r="T3546">
        <v>47008861</v>
      </c>
    </row>
    <row r="3547" spans="1:20" x14ac:dyDescent="0.25">
      <c r="A3547">
        <v>2055</v>
      </c>
      <c r="B3547" t="s">
        <v>16988</v>
      </c>
      <c r="C3547" t="s">
        <v>16989</v>
      </c>
      <c r="D3547" t="s">
        <v>14112</v>
      </c>
      <c r="E3547" t="s">
        <v>14112</v>
      </c>
      <c r="F3547">
        <v>1995</v>
      </c>
      <c r="G3547" t="s">
        <v>1900</v>
      </c>
      <c r="H3547" t="s">
        <v>16990</v>
      </c>
      <c r="I3547" t="s">
        <v>16991</v>
      </c>
      <c r="J3547" t="s">
        <v>26</v>
      </c>
      <c r="K3547" t="s">
        <v>27</v>
      </c>
      <c r="L3547" t="b">
        <v>1</v>
      </c>
      <c r="M3547" t="s">
        <v>16992</v>
      </c>
      <c r="N3547" t="str">
        <f>"305.43/5"</f>
        <v>305.43/5</v>
      </c>
      <c r="P3547" t="b">
        <v>0</v>
      </c>
      <c r="R3547" t="str">
        <f>"9780813522203"</f>
        <v>9780813522203</v>
      </c>
      <c r="S3547" t="str">
        <f>"9780813560311"</f>
        <v>9780813560311</v>
      </c>
      <c r="T3547">
        <v>42330261</v>
      </c>
    </row>
    <row r="3548" spans="1:20" x14ac:dyDescent="0.25">
      <c r="A3548">
        <v>1828</v>
      </c>
      <c r="B3548" t="s">
        <v>16993</v>
      </c>
      <c r="D3548" t="s">
        <v>14112</v>
      </c>
      <c r="E3548" t="s">
        <v>14112</v>
      </c>
      <c r="F3548">
        <v>1998</v>
      </c>
      <c r="G3548" t="s">
        <v>16994</v>
      </c>
      <c r="H3548" t="s">
        <v>16995</v>
      </c>
      <c r="I3548" t="s">
        <v>16996</v>
      </c>
      <c r="J3548" t="s">
        <v>26</v>
      </c>
      <c r="K3548" t="s">
        <v>27</v>
      </c>
      <c r="L3548" t="b">
        <v>1</v>
      </c>
      <c r="M3548" t="s">
        <v>16997</v>
      </c>
      <c r="N3548" t="str">
        <f>"342.73/0873"</f>
        <v>342.73/0873</v>
      </c>
      <c r="P3548" t="b">
        <v>0</v>
      </c>
      <c r="R3548" t="str">
        <f>"9780813524634"</f>
        <v>9780813524634</v>
      </c>
      <c r="T3548">
        <v>42329177</v>
      </c>
    </row>
    <row r="3549" spans="1:20" x14ac:dyDescent="0.25">
      <c r="A3549">
        <v>1827</v>
      </c>
      <c r="B3549" t="s">
        <v>16998</v>
      </c>
      <c r="C3549" t="s">
        <v>16999</v>
      </c>
      <c r="D3549" t="s">
        <v>14112</v>
      </c>
      <c r="E3549" t="s">
        <v>14112</v>
      </c>
      <c r="F3549">
        <v>1998</v>
      </c>
      <c r="G3549" t="s">
        <v>9242</v>
      </c>
      <c r="H3549" t="s">
        <v>17000</v>
      </c>
      <c r="I3549" t="s">
        <v>17001</v>
      </c>
      <c r="J3549" t="s">
        <v>26</v>
      </c>
      <c r="K3549" t="s">
        <v>27</v>
      </c>
      <c r="L3549" t="b">
        <v>1</v>
      </c>
      <c r="M3549" t="s">
        <v>17002</v>
      </c>
      <c r="N3549" t="str">
        <f>"614.4/9"</f>
        <v>614.4/9</v>
      </c>
      <c r="P3549" t="b">
        <v>0</v>
      </c>
      <c r="R3549" t="str">
        <f>"9780813525273"</f>
        <v>9780813525273</v>
      </c>
      <c r="T3549">
        <v>42922355</v>
      </c>
    </row>
    <row r="3550" spans="1:20" x14ac:dyDescent="0.25">
      <c r="A3550">
        <v>760</v>
      </c>
      <c r="B3550" t="s">
        <v>17003</v>
      </c>
      <c r="C3550" t="s">
        <v>17004</v>
      </c>
      <c r="D3550" t="s">
        <v>15573</v>
      </c>
      <c r="E3550" t="s">
        <v>15573</v>
      </c>
      <c r="F3550">
        <v>1995</v>
      </c>
      <c r="G3550" t="s">
        <v>1750</v>
      </c>
      <c r="H3550" t="s">
        <v>17005</v>
      </c>
      <c r="I3550" t="s">
        <v>17006</v>
      </c>
      <c r="J3550" t="s">
        <v>26</v>
      </c>
      <c r="K3550" t="s">
        <v>27</v>
      </c>
      <c r="L3550" t="b">
        <v>1</v>
      </c>
      <c r="M3550" t="s">
        <v>17007</v>
      </c>
      <c r="N3550" t="str">
        <f>"617/.092;B"</f>
        <v>617/.092;B</v>
      </c>
      <c r="P3550" t="b">
        <v>0</v>
      </c>
      <c r="S3550" t="str">
        <f>"9780585023625"</f>
        <v>9780585023625</v>
      </c>
      <c r="T3550">
        <v>42329010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Elwell</dc:creator>
  <cp:lastModifiedBy>Polkinghorne, Sarah</cp:lastModifiedBy>
  <dcterms:created xsi:type="dcterms:W3CDTF">2019-05-15T14:16:50Z</dcterms:created>
  <dcterms:modified xsi:type="dcterms:W3CDTF">2019-06-10T16:33:26Z</dcterms:modified>
</cp:coreProperties>
</file>